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\Desktop\"/>
    </mc:Choice>
  </mc:AlternateContent>
  <xr:revisionPtr revIDLastSave="0" documentId="8_{8744546C-8F28-4259-93FD-F14E26F0C211}" xr6:coauthVersionLast="47" xr6:coauthVersionMax="47" xr10:uidLastSave="{00000000-0000-0000-0000-000000000000}"/>
  <bookViews>
    <workbookView xWindow="-120" yWindow="-120" windowWidth="29040" windowHeight="15720" tabRatio="909" firstSheet="2" activeTab="16" xr2:uid="{00000000-000D-0000-FFFF-FFFF00000000}"/>
  </bookViews>
  <sheets>
    <sheet name="All Indian Rodeo" sheetId="23" r:id="rId1"/>
    <sheet name="Bareback" sheetId="1" r:id="rId2"/>
    <sheet name="Steer Wrestling" sheetId="7" r:id="rId3"/>
    <sheet name="Saddle Bronc" sheetId="3" r:id="rId4"/>
    <sheet name="TR Header" sheetId="40" r:id="rId5"/>
    <sheet name="TR Heeler" sheetId="39" r:id="rId6"/>
    <sheet name="Bull Riding" sheetId="30" r:id="rId7"/>
    <sheet name="Barrel Racing" sheetId="8" r:id="rId8"/>
    <sheet name="Tie Down Roping" sheetId="5" r:id="rId9"/>
    <sheet name="Breakaway" sheetId="6" r:id="rId10"/>
    <sheet name="Sr. Breakaway" sheetId="45" r:id="rId11"/>
    <sheet name="Sr. TR Header" sheetId="47" r:id="rId12"/>
    <sheet name="Sr. TR Heeler" sheetId="48" r:id="rId13"/>
    <sheet name="Jr. Barrel Racing" sheetId="42" r:id="rId14"/>
    <sheet name="Jr. Breakaway" sheetId="43" r:id="rId15"/>
    <sheet name="Jr. Bull Riding" sheetId="46" r:id="rId16"/>
    <sheet name="RESULTS" sheetId="26" r:id="rId17"/>
    <sheet name="SANCTION FEE" sheetId="49" r:id="rId18"/>
    <sheet name="STOCK FEES" sheetId="50" r:id="rId19"/>
  </sheets>
  <definedNames>
    <definedName name="_xlnm.Print_Area" localSheetId="0">'All Indian Rodeo'!$A$1:$Q$52</definedName>
    <definedName name="_xlnm.Print_Area" localSheetId="1">Bareback!$A$1:$O$33</definedName>
    <definedName name="_xlnm.Print_Area" localSheetId="7">'Barrel Racing'!$A$1:$O$27</definedName>
    <definedName name="_xlnm.Print_Area" localSheetId="9">Breakaway!$A$1:$O$34</definedName>
    <definedName name="_xlnm.Print_Area" localSheetId="6">'Bull Riding'!$A$1:$O$33</definedName>
    <definedName name="_xlnm.Print_Area" localSheetId="13">'Jr. Barrel Racing'!$A$1:$O$27</definedName>
    <definedName name="_xlnm.Print_Area" localSheetId="14">'Jr. Breakaway'!$A$1:$O$29</definedName>
    <definedName name="_xlnm.Print_Area" localSheetId="15">'Jr. Bull Riding'!$A$1:$O$28</definedName>
    <definedName name="_xlnm.Print_Area" localSheetId="16">RESULTS!$A$1:$O$119</definedName>
    <definedName name="_xlnm.Print_Area" localSheetId="3">'Saddle Bronc'!$A$1:$O$29</definedName>
    <definedName name="_xlnm.Print_Area" localSheetId="17">'SANCTION FEE'!$A$1:$G$34</definedName>
    <definedName name="_xlnm.Print_Area" localSheetId="10">'Sr. Breakaway'!$A$1:$O$27</definedName>
    <definedName name="_xlnm.Print_Area" localSheetId="11">'Sr. TR Header'!$A$1:$O$27</definedName>
    <definedName name="_xlnm.Print_Area" localSheetId="12">'Sr. TR Heeler'!$A$1:$O$27</definedName>
    <definedName name="_xlnm.Print_Area" localSheetId="2">'Steer Wrestling'!$A$1:$O$34</definedName>
    <definedName name="_xlnm.Print_Area" localSheetId="18">'STOCK FEES'!$A$1:$F$32</definedName>
    <definedName name="_xlnm.Print_Area" localSheetId="8">'Tie Down Roping'!$A$1:$O$40</definedName>
    <definedName name="_xlnm.Print_Area" localSheetId="4">'TR Header'!$A$1:$O$32</definedName>
    <definedName name="_xlnm.Print_Area" localSheetId="5">'TR Heeler'!$A$1:$O$30</definedName>
    <definedName name="_xlnm.Print_Titles" localSheetId="0">'All Indian Rodeo'!$1:$5</definedName>
    <definedName name="_xlnm.Print_Titles" localSheetId="18">'STOCK FEES'!$1:$3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26" l="1"/>
  <c r="I21" i="46"/>
  <c r="I22" i="46"/>
  <c r="N21" i="46"/>
  <c r="N22" i="46"/>
  <c r="D21" i="40"/>
  <c r="D22" i="40"/>
  <c r="D23" i="40"/>
  <c r="D24" i="40"/>
  <c r="D25" i="40"/>
  <c r="D26" i="40"/>
  <c r="D27" i="40"/>
  <c r="D28" i="40"/>
  <c r="D21" i="3"/>
  <c r="N21" i="45"/>
  <c r="N22" i="45"/>
  <c r="N23" i="45"/>
  <c r="N24" i="45"/>
  <c r="N26" i="7"/>
  <c r="N25" i="7"/>
  <c r="N24" i="7"/>
  <c r="N23" i="7"/>
  <c r="N22" i="7"/>
  <c r="N21" i="7"/>
  <c r="C9" i="49"/>
  <c r="C17" i="49"/>
  <c r="C16" i="49"/>
  <c r="C15" i="49"/>
  <c r="C14" i="49"/>
  <c r="C13" i="49"/>
  <c r="C12" i="49"/>
  <c r="C11" i="49"/>
  <c r="C10" i="49"/>
  <c r="C8" i="49"/>
  <c r="C7" i="49"/>
  <c r="C6" i="49"/>
  <c r="C5" i="49"/>
  <c r="C4" i="49"/>
  <c r="C3" i="49"/>
  <c r="B20" i="50"/>
  <c r="D20" i="50" s="1"/>
  <c r="B19" i="50"/>
  <c r="D19" i="50" s="1"/>
  <c r="B18" i="50"/>
  <c r="D18" i="50" s="1"/>
  <c r="B17" i="50"/>
  <c r="D17" i="50" s="1"/>
  <c r="B16" i="50"/>
  <c r="D16" i="50" s="1"/>
  <c r="B15" i="50"/>
  <c r="D15" i="50" s="1"/>
  <c r="B14" i="50"/>
  <c r="D14" i="50" s="1"/>
  <c r="B13" i="50"/>
  <c r="D13" i="50" s="1"/>
  <c r="B12" i="50"/>
  <c r="D12" i="50" s="1"/>
  <c r="B11" i="50"/>
  <c r="D11" i="50" s="1"/>
  <c r="B10" i="50"/>
  <c r="D10" i="50" s="1"/>
  <c r="B9" i="50"/>
  <c r="D9" i="50" s="1"/>
  <c r="B8" i="50"/>
  <c r="D8" i="50" s="1"/>
  <c r="D21" i="49"/>
  <c r="D26" i="49" s="1"/>
  <c r="D25" i="49"/>
  <c r="D21" i="50" l="1"/>
  <c r="E24" i="23"/>
  <c r="E21" i="23"/>
  <c r="E18" i="23"/>
  <c r="E15" i="23"/>
  <c r="E12" i="23"/>
  <c r="E9" i="23"/>
  <c r="E48" i="23"/>
  <c r="C48" i="23"/>
  <c r="B48" i="23"/>
  <c r="E45" i="23"/>
  <c r="C45" i="23"/>
  <c r="B45" i="23"/>
  <c r="E42" i="23"/>
  <c r="C42" i="23"/>
  <c r="B42" i="23"/>
  <c r="E39" i="23"/>
  <c r="C39" i="23"/>
  <c r="B39" i="23"/>
  <c r="E36" i="23"/>
  <c r="C36" i="23"/>
  <c r="B36" i="23"/>
  <c r="E33" i="23"/>
  <c r="C33" i="23"/>
  <c r="B33" i="23"/>
  <c r="E30" i="23"/>
  <c r="C30" i="23"/>
  <c r="B30" i="23"/>
  <c r="E27" i="23"/>
  <c r="C27" i="23"/>
  <c r="B27" i="23"/>
  <c r="E6" i="23"/>
  <c r="E51" i="23" l="1"/>
  <c r="M111" i="26" l="1"/>
  <c r="N111" i="26"/>
  <c r="M105" i="26"/>
  <c r="N105" i="26"/>
  <c r="M99" i="26"/>
  <c r="N99" i="26"/>
  <c r="L111" i="26"/>
  <c r="L105" i="26"/>
  <c r="L99" i="26"/>
  <c r="G115" i="26"/>
  <c r="H115" i="26"/>
  <c r="I115" i="26"/>
  <c r="G116" i="26"/>
  <c r="H116" i="26"/>
  <c r="I116" i="26"/>
  <c r="G117" i="26"/>
  <c r="H117" i="26"/>
  <c r="I117" i="26"/>
  <c r="H114" i="26"/>
  <c r="I114" i="26"/>
  <c r="G109" i="26"/>
  <c r="H109" i="26"/>
  <c r="I109" i="26"/>
  <c r="H108" i="26"/>
  <c r="I108" i="26"/>
  <c r="G103" i="26"/>
  <c r="H103" i="26"/>
  <c r="I103" i="26"/>
  <c r="G104" i="26"/>
  <c r="H104" i="26"/>
  <c r="I104" i="26"/>
  <c r="G105" i="26"/>
  <c r="H105" i="26"/>
  <c r="I105" i="26"/>
  <c r="H102" i="26"/>
  <c r="I102" i="26"/>
  <c r="G114" i="26"/>
  <c r="G108" i="26"/>
  <c r="G102" i="26"/>
  <c r="B114" i="26"/>
  <c r="A115" i="26"/>
  <c r="B115" i="26"/>
  <c r="C115" i="26"/>
  <c r="A116" i="26"/>
  <c r="B116" i="26"/>
  <c r="C116" i="26"/>
  <c r="A117" i="26"/>
  <c r="B117" i="26"/>
  <c r="C117" i="26"/>
  <c r="C114" i="26"/>
  <c r="A114" i="26"/>
  <c r="A109" i="26"/>
  <c r="B109" i="26"/>
  <c r="C109" i="26"/>
  <c r="B108" i="26"/>
  <c r="C108" i="26"/>
  <c r="A108" i="26"/>
  <c r="A103" i="26"/>
  <c r="B103" i="26"/>
  <c r="C103" i="26"/>
  <c r="A104" i="26"/>
  <c r="B104" i="26"/>
  <c r="C104" i="26"/>
  <c r="A105" i="26"/>
  <c r="B105" i="26"/>
  <c r="C105" i="26"/>
  <c r="B102" i="26"/>
  <c r="C102" i="26"/>
  <c r="A102" i="26"/>
  <c r="L93" i="26"/>
  <c r="M93" i="26"/>
  <c r="N93" i="26"/>
  <c r="L94" i="26"/>
  <c r="M94" i="26"/>
  <c r="N94" i="26"/>
  <c r="L95" i="26"/>
  <c r="M95" i="26"/>
  <c r="N95" i="26"/>
  <c r="M92" i="26"/>
  <c r="N92" i="26"/>
  <c r="L92" i="26"/>
  <c r="L87" i="26"/>
  <c r="M87" i="26"/>
  <c r="N87" i="26"/>
  <c r="L88" i="26"/>
  <c r="M88" i="26"/>
  <c r="N88" i="26"/>
  <c r="L89" i="26"/>
  <c r="M89" i="26"/>
  <c r="N89" i="26"/>
  <c r="M86" i="26"/>
  <c r="N86" i="26"/>
  <c r="L86" i="26"/>
  <c r="M81" i="26"/>
  <c r="N81" i="26"/>
  <c r="M82" i="26"/>
  <c r="N82" i="26"/>
  <c r="M83" i="26"/>
  <c r="N83" i="26"/>
  <c r="M80" i="26"/>
  <c r="N80" i="26"/>
  <c r="L80" i="26"/>
  <c r="G93" i="26"/>
  <c r="G94" i="26"/>
  <c r="G95" i="26"/>
  <c r="G92" i="26"/>
  <c r="G87" i="26"/>
  <c r="H87" i="26"/>
  <c r="I87" i="26"/>
  <c r="G88" i="26"/>
  <c r="G89" i="26"/>
  <c r="H86" i="26"/>
  <c r="I86" i="26"/>
  <c r="G86" i="26"/>
  <c r="H81" i="26"/>
  <c r="I81" i="26"/>
  <c r="H82" i="26"/>
  <c r="I82" i="26"/>
  <c r="H83" i="26"/>
  <c r="I83" i="26"/>
  <c r="H80" i="26"/>
  <c r="I80" i="26"/>
  <c r="G80" i="26"/>
  <c r="A95" i="26"/>
  <c r="B95" i="26"/>
  <c r="C95" i="26"/>
  <c r="A96" i="26"/>
  <c r="B96" i="26"/>
  <c r="C96" i="26"/>
  <c r="A97" i="26"/>
  <c r="B97" i="26"/>
  <c r="C97" i="26"/>
  <c r="B94" i="26"/>
  <c r="C94" i="26"/>
  <c r="A94" i="26"/>
  <c r="A89" i="26"/>
  <c r="B89" i="26"/>
  <c r="C89" i="26"/>
  <c r="A90" i="26"/>
  <c r="B90" i="26"/>
  <c r="C90" i="26"/>
  <c r="A91" i="26"/>
  <c r="B91" i="26"/>
  <c r="C91" i="26"/>
  <c r="B88" i="26"/>
  <c r="C88" i="26"/>
  <c r="A88" i="26"/>
  <c r="B81" i="26"/>
  <c r="C81" i="26"/>
  <c r="B82" i="26"/>
  <c r="C82" i="26"/>
  <c r="B83" i="26"/>
  <c r="C83" i="26"/>
  <c r="B80" i="26"/>
  <c r="C80" i="26"/>
  <c r="A80" i="26"/>
  <c r="L71" i="26"/>
  <c r="L65" i="26"/>
  <c r="L50" i="26"/>
  <c r="M50" i="26"/>
  <c r="N50" i="26"/>
  <c r="L51" i="26"/>
  <c r="M51" i="26"/>
  <c r="N51" i="26"/>
  <c r="L52" i="26"/>
  <c r="M52" i="26"/>
  <c r="N52" i="26"/>
  <c r="L53" i="26"/>
  <c r="M53" i="26"/>
  <c r="N53" i="26"/>
  <c r="L54" i="26"/>
  <c r="M54" i="26"/>
  <c r="N54" i="26"/>
  <c r="M49" i="26"/>
  <c r="N49" i="26"/>
  <c r="L44" i="26"/>
  <c r="M44" i="26"/>
  <c r="N44" i="26"/>
  <c r="L45" i="26"/>
  <c r="M45" i="26"/>
  <c r="N45" i="26"/>
  <c r="L46" i="26"/>
  <c r="M46" i="26"/>
  <c r="N46" i="26"/>
  <c r="M43" i="26"/>
  <c r="N43" i="26"/>
  <c r="M36" i="26"/>
  <c r="N36" i="26"/>
  <c r="M37" i="26"/>
  <c r="N37" i="26"/>
  <c r="M38" i="26"/>
  <c r="N38" i="26"/>
  <c r="M39" i="26"/>
  <c r="N39" i="26"/>
  <c r="M40" i="26"/>
  <c r="N40" i="26"/>
  <c r="M35" i="26"/>
  <c r="N35" i="26"/>
  <c r="L26" i="26"/>
  <c r="M26" i="26"/>
  <c r="N26" i="26"/>
  <c r="L27" i="26"/>
  <c r="M27" i="26"/>
  <c r="N27" i="26"/>
  <c r="L28" i="26"/>
  <c r="M28" i="26"/>
  <c r="N28" i="26"/>
  <c r="L29" i="26"/>
  <c r="M29" i="26"/>
  <c r="N29" i="26"/>
  <c r="L30" i="26"/>
  <c r="M30" i="26"/>
  <c r="N30" i="26"/>
  <c r="L31" i="26"/>
  <c r="M31" i="26"/>
  <c r="N31" i="26"/>
  <c r="L32" i="26"/>
  <c r="M32" i="26"/>
  <c r="N32" i="26"/>
  <c r="M25" i="26"/>
  <c r="N25" i="26"/>
  <c r="L18" i="26"/>
  <c r="M18" i="26"/>
  <c r="N18" i="26"/>
  <c r="L19" i="26"/>
  <c r="M19" i="26"/>
  <c r="N19" i="26"/>
  <c r="L20" i="26"/>
  <c r="M20" i="26"/>
  <c r="N20" i="26"/>
  <c r="L21" i="26"/>
  <c r="M21" i="26"/>
  <c r="N21" i="26"/>
  <c r="L22" i="26"/>
  <c r="M22" i="26"/>
  <c r="N22" i="26"/>
  <c r="M17" i="26"/>
  <c r="N17" i="26"/>
  <c r="L8" i="26"/>
  <c r="M8" i="26"/>
  <c r="N8" i="26"/>
  <c r="L9" i="26"/>
  <c r="M9" i="26"/>
  <c r="N9" i="26"/>
  <c r="L10" i="26"/>
  <c r="M10" i="26"/>
  <c r="N10" i="26"/>
  <c r="L11" i="26"/>
  <c r="M11" i="26"/>
  <c r="N11" i="26"/>
  <c r="L12" i="26"/>
  <c r="M12" i="26"/>
  <c r="N12" i="26"/>
  <c r="L13" i="26"/>
  <c r="M13" i="26"/>
  <c r="N13" i="26"/>
  <c r="L14" i="26"/>
  <c r="M14" i="26"/>
  <c r="N14" i="26"/>
  <c r="M7" i="26"/>
  <c r="N7" i="26"/>
  <c r="G70" i="26"/>
  <c r="H70" i="26"/>
  <c r="I70" i="26"/>
  <c r="G71" i="26"/>
  <c r="H71" i="26"/>
  <c r="I71" i="26"/>
  <c r="G72" i="26"/>
  <c r="H72" i="26"/>
  <c r="I72" i="26"/>
  <c r="G73" i="26"/>
  <c r="H73" i="26"/>
  <c r="I73" i="26"/>
  <c r="G74" i="26"/>
  <c r="H74" i="26"/>
  <c r="I74" i="26"/>
  <c r="G75" i="26"/>
  <c r="H75" i="26"/>
  <c r="I75" i="26"/>
  <c r="G76" i="26"/>
  <c r="H76" i="26"/>
  <c r="I76" i="26"/>
  <c r="H69" i="26"/>
  <c r="I69" i="26"/>
  <c r="G62" i="26"/>
  <c r="H62" i="26"/>
  <c r="I62" i="26"/>
  <c r="G63" i="26"/>
  <c r="H63" i="26"/>
  <c r="I63" i="26"/>
  <c r="G64" i="26"/>
  <c r="H64" i="26"/>
  <c r="I64" i="26"/>
  <c r="G65" i="26"/>
  <c r="H65" i="26"/>
  <c r="I65" i="26"/>
  <c r="G66" i="26"/>
  <c r="H66" i="26"/>
  <c r="I66" i="26"/>
  <c r="H61" i="26"/>
  <c r="I61" i="26"/>
  <c r="G52" i="26"/>
  <c r="H52" i="26"/>
  <c r="I52" i="26"/>
  <c r="G53" i="26"/>
  <c r="H53" i="26"/>
  <c r="I53" i="26"/>
  <c r="G54" i="26"/>
  <c r="H54" i="26"/>
  <c r="I54" i="26"/>
  <c r="G55" i="26"/>
  <c r="H55" i="26"/>
  <c r="I55" i="26"/>
  <c r="G56" i="26"/>
  <c r="H56" i="26"/>
  <c r="I56" i="26"/>
  <c r="G57" i="26"/>
  <c r="H57" i="26"/>
  <c r="I57" i="26"/>
  <c r="G58" i="26"/>
  <c r="H58" i="26"/>
  <c r="I58" i="26"/>
  <c r="I51" i="26"/>
  <c r="G44" i="26"/>
  <c r="H44" i="26"/>
  <c r="I44" i="26"/>
  <c r="G45" i="26"/>
  <c r="H45" i="26"/>
  <c r="I45" i="26"/>
  <c r="G46" i="26"/>
  <c r="H46" i="26"/>
  <c r="I46" i="26"/>
  <c r="G47" i="26"/>
  <c r="H47" i="26"/>
  <c r="I47" i="26"/>
  <c r="G48" i="26"/>
  <c r="H48" i="26"/>
  <c r="I48" i="26"/>
  <c r="H43" i="26"/>
  <c r="I43" i="26"/>
  <c r="G38" i="26"/>
  <c r="H38" i="26"/>
  <c r="I38" i="26"/>
  <c r="G39" i="26"/>
  <c r="H39" i="26"/>
  <c r="I39" i="26"/>
  <c r="G40" i="26"/>
  <c r="H40" i="26"/>
  <c r="I40" i="26"/>
  <c r="H37" i="26"/>
  <c r="I37" i="26"/>
  <c r="G30" i="26"/>
  <c r="H30" i="26"/>
  <c r="I30" i="26"/>
  <c r="G31" i="26"/>
  <c r="H31" i="26"/>
  <c r="I31" i="26"/>
  <c r="G32" i="26"/>
  <c r="H32" i="26"/>
  <c r="I32" i="26"/>
  <c r="G33" i="26"/>
  <c r="H33" i="26"/>
  <c r="I33" i="26"/>
  <c r="G34" i="26"/>
  <c r="H34" i="26"/>
  <c r="I34" i="26"/>
  <c r="H29" i="26"/>
  <c r="I29" i="26"/>
  <c r="G43" i="26"/>
  <c r="G37" i="26"/>
  <c r="G29" i="26"/>
  <c r="H21" i="26"/>
  <c r="I21" i="26"/>
  <c r="H15" i="26"/>
  <c r="I15" i="26"/>
  <c r="H7" i="26"/>
  <c r="I7" i="26"/>
  <c r="A68" i="26"/>
  <c r="A69" i="26"/>
  <c r="A70" i="26"/>
  <c r="A71" i="26"/>
  <c r="A72" i="26"/>
  <c r="A60" i="26"/>
  <c r="B60" i="26"/>
  <c r="C60" i="26"/>
  <c r="A61" i="26"/>
  <c r="B61" i="26"/>
  <c r="C61" i="26"/>
  <c r="A62" i="26"/>
  <c r="B62" i="26"/>
  <c r="C62" i="26"/>
  <c r="B59" i="26"/>
  <c r="C59" i="26"/>
  <c r="A52" i="26"/>
  <c r="B52" i="26"/>
  <c r="C52" i="26"/>
  <c r="A53" i="26"/>
  <c r="B53" i="26"/>
  <c r="C53" i="26"/>
  <c r="A54" i="26"/>
  <c r="B54" i="26"/>
  <c r="C54" i="26"/>
  <c r="A55" i="26"/>
  <c r="B55" i="26"/>
  <c r="C55" i="26"/>
  <c r="A56" i="26"/>
  <c r="B56" i="26"/>
  <c r="C56" i="26"/>
  <c r="B51" i="26"/>
  <c r="C51" i="26"/>
  <c r="A44" i="26"/>
  <c r="B44" i="26"/>
  <c r="C44" i="26"/>
  <c r="A45" i="26"/>
  <c r="B45" i="26"/>
  <c r="C45" i="26"/>
  <c r="A46" i="26"/>
  <c r="B46" i="26"/>
  <c r="C46" i="26"/>
  <c r="A47" i="26"/>
  <c r="B47" i="26"/>
  <c r="C47" i="26"/>
  <c r="A48" i="26"/>
  <c r="B48" i="26"/>
  <c r="C48" i="26"/>
  <c r="B43" i="26"/>
  <c r="C43" i="26"/>
  <c r="A38" i="26"/>
  <c r="B38" i="26"/>
  <c r="C38" i="26"/>
  <c r="A39" i="26"/>
  <c r="B39" i="26"/>
  <c r="C39" i="26"/>
  <c r="A40" i="26"/>
  <c r="B37" i="26"/>
  <c r="C37" i="26"/>
  <c r="A30" i="26"/>
  <c r="B30" i="26"/>
  <c r="C30" i="26"/>
  <c r="A31" i="26"/>
  <c r="B31" i="26"/>
  <c r="C31" i="26"/>
  <c r="A32" i="26"/>
  <c r="B32" i="26"/>
  <c r="C32" i="26"/>
  <c r="A33" i="26"/>
  <c r="B33" i="26"/>
  <c r="C33" i="26"/>
  <c r="A34" i="26"/>
  <c r="B34" i="26"/>
  <c r="C34" i="26"/>
  <c r="B29" i="26"/>
  <c r="C29" i="26"/>
  <c r="B21" i="26"/>
  <c r="C21" i="26"/>
  <c r="A21" i="26"/>
  <c r="A16" i="26"/>
  <c r="B16" i="26"/>
  <c r="C16" i="26"/>
  <c r="B15" i="26"/>
  <c r="C15" i="26"/>
  <c r="A15" i="26"/>
  <c r="B7" i="26"/>
  <c r="C7" i="26"/>
  <c r="A7" i="26"/>
  <c r="E6" i="48" l="1"/>
  <c r="E6" i="47"/>
  <c r="A22" i="46"/>
  <c r="E6" i="46"/>
  <c r="A22" i="45"/>
  <c r="E6" i="45"/>
  <c r="A22" i="43"/>
  <c r="E6" i="43"/>
  <c r="A22" i="42"/>
  <c r="C7" i="42"/>
  <c r="E6" i="42"/>
  <c r="A23" i="45" l="1"/>
  <c r="A81" i="26"/>
  <c r="E10" i="46"/>
  <c r="D39" i="23"/>
  <c r="E10" i="45"/>
  <c r="D42" i="23"/>
  <c r="A23" i="46"/>
  <c r="E10" i="43"/>
  <c r="D33" i="23"/>
  <c r="E10" i="47"/>
  <c r="D45" i="23"/>
  <c r="A23" i="43"/>
  <c r="G81" i="26"/>
  <c r="E10" i="42"/>
  <c r="D36" i="23"/>
  <c r="A23" i="42"/>
  <c r="L81" i="26"/>
  <c r="E10" i="48"/>
  <c r="E12" i="48" s="1"/>
  <c r="D48" i="23"/>
  <c r="A24" i="46" l="1"/>
  <c r="E14" i="48"/>
  <c r="E17" i="49"/>
  <c r="G48" i="23"/>
  <c r="E12" i="45"/>
  <c r="D15" i="49"/>
  <c r="F42" i="23"/>
  <c r="E12" i="42"/>
  <c r="E14" i="42" s="1"/>
  <c r="G18" i="42" s="1"/>
  <c r="H37" i="23" s="1"/>
  <c r="D13" i="49"/>
  <c r="F36" i="23"/>
  <c r="A24" i="43"/>
  <c r="G82" i="26"/>
  <c r="D17" i="49"/>
  <c r="F48" i="23"/>
  <c r="E12" i="47"/>
  <c r="D16" i="49"/>
  <c r="F45" i="23"/>
  <c r="E12" i="46"/>
  <c r="D14" i="49"/>
  <c r="F39" i="23"/>
  <c r="A24" i="42"/>
  <c r="L82" i="26"/>
  <c r="E12" i="43"/>
  <c r="D12" i="49"/>
  <c r="F33" i="23"/>
  <c r="A24" i="45"/>
  <c r="A82" i="26"/>
  <c r="B18" i="48"/>
  <c r="H48" i="23" s="1"/>
  <c r="G18" i="48"/>
  <c r="H49" i="23" s="1"/>
  <c r="L18" i="48"/>
  <c r="H50" i="23" s="1"/>
  <c r="L18" i="42" l="1"/>
  <c r="H38" i="23" s="1"/>
  <c r="E16" i="49"/>
  <c r="G45" i="23"/>
  <c r="E14" i="47"/>
  <c r="A25" i="42"/>
  <c r="A26" i="42" s="1"/>
  <c r="A27" i="42" s="1"/>
  <c r="A28" i="42" s="1"/>
  <c r="A29" i="42" s="1"/>
  <c r="A30" i="42" s="1"/>
  <c r="A31" i="42" s="1"/>
  <c r="A32" i="42" s="1"/>
  <c r="L83" i="26"/>
  <c r="E15" i="49"/>
  <c r="G42" i="23"/>
  <c r="E14" i="45"/>
  <c r="B18" i="42"/>
  <c r="D21" i="42" s="1"/>
  <c r="A25" i="43"/>
  <c r="A26" i="43" s="1"/>
  <c r="A27" i="43" s="1"/>
  <c r="A28" i="43" s="1"/>
  <c r="A29" i="43" s="1"/>
  <c r="A30" i="43" s="1"/>
  <c r="A31" i="43" s="1"/>
  <c r="A32" i="43" s="1"/>
  <c r="G83" i="26"/>
  <c r="E14" i="49"/>
  <c r="G39" i="23"/>
  <c r="E14" i="46"/>
  <c r="A25" i="45"/>
  <c r="A83" i="26"/>
  <c r="E12" i="49"/>
  <c r="G33" i="23"/>
  <c r="E14" i="43"/>
  <c r="E13" i="49"/>
  <c r="G36" i="23"/>
  <c r="A25" i="46"/>
  <c r="A26" i="46" s="1"/>
  <c r="A27" i="46" s="1"/>
  <c r="A28" i="46" s="1"/>
  <c r="A29" i="46" s="1"/>
  <c r="A30" i="46" s="1"/>
  <c r="A31" i="46" s="1"/>
  <c r="A32" i="46" s="1"/>
  <c r="N22" i="42"/>
  <c r="I21" i="42"/>
  <c r="I24" i="42"/>
  <c r="I23" i="42"/>
  <c r="I22" i="42"/>
  <c r="D22" i="48"/>
  <c r="D24" i="48"/>
  <c r="D23" i="48"/>
  <c r="D21" i="48"/>
  <c r="P18" i="48"/>
  <c r="I21" i="48"/>
  <c r="I22" i="48"/>
  <c r="I24" i="48"/>
  <c r="I23" i="48"/>
  <c r="N23" i="42" l="1"/>
  <c r="O94" i="26" s="1"/>
  <c r="D23" i="42"/>
  <c r="K36" i="23" s="1"/>
  <c r="D22" i="42"/>
  <c r="N24" i="42"/>
  <c r="D24" i="42"/>
  <c r="L36" i="23" s="1"/>
  <c r="N21" i="42"/>
  <c r="J49" i="23"/>
  <c r="J109" i="26"/>
  <c r="B18" i="45"/>
  <c r="L18" i="45"/>
  <c r="G18" i="45"/>
  <c r="I49" i="23"/>
  <c r="J108" i="26"/>
  <c r="J48" i="23"/>
  <c r="J103" i="26"/>
  <c r="A26" i="45"/>
  <c r="I50" i="23"/>
  <c r="J114" i="26"/>
  <c r="N33" i="48"/>
  <c r="J37" i="23"/>
  <c r="O87" i="26"/>
  <c r="I38" i="23"/>
  <c r="O92" i="26"/>
  <c r="G18" i="46"/>
  <c r="L18" i="46"/>
  <c r="B18" i="46"/>
  <c r="L48" i="23"/>
  <c r="J105" i="26"/>
  <c r="J50" i="23"/>
  <c r="J115" i="26"/>
  <c r="K50" i="23"/>
  <c r="J116" i="26"/>
  <c r="K38" i="23"/>
  <c r="K37" i="23"/>
  <c r="O88" i="26"/>
  <c r="L37" i="23"/>
  <c r="O89" i="26"/>
  <c r="L50" i="23"/>
  <c r="J117" i="26"/>
  <c r="I37" i="23"/>
  <c r="O86" i="26"/>
  <c r="L38" i="23"/>
  <c r="O95" i="26"/>
  <c r="B18" i="43"/>
  <c r="L18" i="43"/>
  <c r="G18" i="43"/>
  <c r="G18" i="47"/>
  <c r="B18" i="47"/>
  <c r="L18" i="47"/>
  <c r="I36" i="23"/>
  <c r="O80" i="26"/>
  <c r="J38" i="23"/>
  <c r="O93" i="26"/>
  <c r="K49" i="23"/>
  <c r="I48" i="23"/>
  <c r="D33" i="48"/>
  <c r="J102" i="26"/>
  <c r="L49" i="23"/>
  <c r="K48" i="23"/>
  <c r="J104" i="26"/>
  <c r="O83" i="26"/>
  <c r="P18" i="42"/>
  <c r="H36" i="23"/>
  <c r="I33" i="42"/>
  <c r="I33" i="48"/>
  <c r="Q48" i="23"/>
  <c r="Q45" i="23"/>
  <c r="Q42" i="23"/>
  <c r="Q39" i="23"/>
  <c r="Q36" i="23"/>
  <c r="Q33" i="23"/>
  <c r="N33" i="42" l="1"/>
  <c r="P33" i="42" s="1"/>
  <c r="P33" i="48"/>
  <c r="O82" i="26"/>
  <c r="D33" i="42"/>
  <c r="O81" i="26"/>
  <c r="J36" i="23"/>
  <c r="R36" i="23" s="1"/>
  <c r="R37" i="23"/>
  <c r="D21" i="45"/>
  <c r="D22" i="45"/>
  <c r="D23" i="45"/>
  <c r="D24" i="45"/>
  <c r="H45" i="23"/>
  <c r="D21" i="47"/>
  <c r="P18" i="47"/>
  <c r="D22" i="47"/>
  <c r="D24" i="47"/>
  <c r="D23" i="47"/>
  <c r="I23" i="47"/>
  <c r="H46" i="23"/>
  <c r="I24" i="47"/>
  <c r="I22" i="47"/>
  <c r="I21" i="47"/>
  <c r="H40" i="23"/>
  <c r="R50" i="23"/>
  <c r="H34" i="23"/>
  <c r="I23" i="43"/>
  <c r="I22" i="43"/>
  <c r="I21" i="43"/>
  <c r="I24" i="43"/>
  <c r="H41" i="23"/>
  <c r="R38" i="23"/>
  <c r="A27" i="45"/>
  <c r="A28" i="45" s="1"/>
  <c r="A29" i="45" s="1"/>
  <c r="A30" i="45" s="1"/>
  <c r="A31" i="45" s="1"/>
  <c r="A32" i="45" s="1"/>
  <c r="H43" i="23"/>
  <c r="I21" i="45"/>
  <c r="I22" i="45"/>
  <c r="I23" i="45"/>
  <c r="I24" i="45"/>
  <c r="H35" i="23"/>
  <c r="N23" i="43"/>
  <c r="N24" i="43"/>
  <c r="N22" i="43"/>
  <c r="N21" i="43"/>
  <c r="H33" i="23"/>
  <c r="P18" i="43"/>
  <c r="D22" i="43"/>
  <c r="D21" i="43"/>
  <c r="D24" i="43"/>
  <c r="D23" i="43"/>
  <c r="H44" i="23"/>
  <c r="H42" i="23"/>
  <c r="P18" i="45"/>
  <c r="R48" i="23"/>
  <c r="H47" i="23"/>
  <c r="N24" i="47"/>
  <c r="N23" i="47"/>
  <c r="N22" i="47"/>
  <c r="N21" i="47"/>
  <c r="H39" i="23"/>
  <c r="P18" i="46"/>
  <c r="R49" i="23"/>
  <c r="L25" i="26"/>
  <c r="L17" i="26"/>
  <c r="L7" i="26"/>
  <c r="G69" i="26"/>
  <c r="G61" i="26"/>
  <c r="G51" i="26"/>
  <c r="I43" i="23" l="1"/>
  <c r="D88" i="26"/>
  <c r="I33" i="45"/>
  <c r="J42" i="23"/>
  <c r="D81" i="26"/>
  <c r="J35" i="23"/>
  <c r="J93" i="26"/>
  <c r="L40" i="23"/>
  <c r="K46" i="23"/>
  <c r="N44" i="23"/>
  <c r="K33" i="23"/>
  <c r="J82" i="26"/>
  <c r="L35" i="23"/>
  <c r="J95" i="26"/>
  <c r="L34" i="23"/>
  <c r="J40" i="23"/>
  <c r="K45" i="23"/>
  <c r="D104" i="26"/>
  <c r="I33" i="46"/>
  <c r="I40" i="23"/>
  <c r="L33" i="23"/>
  <c r="J83" i="26"/>
  <c r="I34" i="23"/>
  <c r="J86" i="26"/>
  <c r="I33" i="43"/>
  <c r="K40" i="23"/>
  <c r="L45" i="23"/>
  <c r="D105" i="26"/>
  <c r="I35" i="23"/>
  <c r="J92" i="26"/>
  <c r="N33" i="43"/>
  <c r="M42" i="23"/>
  <c r="K44" i="23"/>
  <c r="D96" i="26"/>
  <c r="D33" i="43"/>
  <c r="I33" i="23"/>
  <c r="J80" i="26"/>
  <c r="J34" i="23"/>
  <c r="J87" i="26"/>
  <c r="J45" i="23"/>
  <c r="D103" i="26"/>
  <c r="K41" i="23"/>
  <c r="J39" i="23"/>
  <c r="I44" i="23"/>
  <c r="D94" i="26"/>
  <c r="N33" i="45"/>
  <c r="J47" i="23"/>
  <c r="D115" i="26"/>
  <c r="L42" i="23"/>
  <c r="D83" i="26"/>
  <c r="J44" i="23"/>
  <c r="D95" i="26"/>
  <c r="J33" i="23"/>
  <c r="J81" i="26"/>
  <c r="L43" i="23"/>
  <c r="D91" i="26"/>
  <c r="L41" i="23"/>
  <c r="K34" i="23"/>
  <c r="I46" i="23"/>
  <c r="D108" i="26"/>
  <c r="K39" i="23"/>
  <c r="K35" i="23"/>
  <c r="J94" i="26"/>
  <c r="I47" i="23"/>
  <c r="D114" i="26"/>
  <c r="N33" i="47"/>
  <c r="L39" i="23"/>
  <c r="K47" i="23"/>
  <c r="D116" i="26"/>
  <c r="N42" i="23"/>
  <c r="L44" i="23"/>
  <c r="D97" i="26"/>
  <c r="K43" i="23"/>
  <c r="D90" i="26"/>
  <c r="J41" i="23"/>
  <c r="J46" i="23"/>
  <c r="D109" i="26"/>
  <c r="D33" i="47"/>
  <c r="I45" i="23"/>
  <c r="D102" i="26"/>
  <c r="I42" i="23"/>
  <c r="D80" i="26"/>
  <c r="D33" i="45"/>
  <c r="I39" i="23"/>
  <c r="O99" i="26"/>
  <c r="D33" i="46"/>
  <c r="L47" i="23"/>
  <c r="D117" i="26"/>
  <c r="K42" i="23"/>
  <c r="D82" i="26"/>
  <c r="M44" i="23"/>
  <c r="J43" i="23"/>
  <c r="D89" i="26"/>
  <c r="I41" i="23"/>
  <c r="O111" i="26"/>
  <c r="N33" i="46"/>
  <c r="I33" i="47"/>
  <c r="L46" i="23"/>
  <c r="L49" i="26"/>
  <c r="P33" i="47" l="1"/>
  <c r="R47" i="23"/>
  <c r="R46" i="23"/>
  <c r="P33" i="43"/>
  <c r="R34" i="23"/>
  <c r="R45" i="23"/>
  <c r="R44" i="23"/>
  <c r="R39" i="23"/>
  <c r="R33" i="23"/>
  <c r="R35" i="23"/>
  <c r="P33" i="45"/>
  <c r="R41" i="23"/>
  <c r="P33" i="46"/>
  <c r="R42" i="23"/>
  <c r="R40" i="23"/>
  <c r="R43" i="23"/>
  <c r="L43" i="26"/>
  <c r="A67" i="26"/>
  <c r="A59" i="26"/>
  <c r="A43" i="26"/>
  <c r="A37" i="26"/>
  <c r="G21" i="26"/>
  <c r="G15" i="26"/>
  <c r="E6" i="40" l="1"/>
  <c r="E6" i="39"/>
  <c r="E10" i="39" l="1"/>
  <c r="D30" i="23"/>
  <c r="E10" i="40"/>
  <c r="E12" i="40" s="1"/>
  <c r="D27" i="23"/>
  <c r="E14" i="40" l="1"/>
  <c r="B18" i="40" s="1"/>
  <c r="E10" i="49"/>
  <c r="G27" i="23"/>
  <c r="D11" i="49"/>
  <c r="F30" i="23"/>
  <c r="E12" i="39"/>
  <c r="D10" i="49"/>
  <c r="F27" i="23"/>
  <c r="G18" i="40"/>
  <c r="L18" i="40" l="1"/>
  <c r="P18" i="40" s="1"/>
  <c r="E14" i="39"/>
  <c r="E11" i="49"/>
  <c r="G30" i="23"/>
  <c r="H28" i="23"/>
  <c r="I25" i="40"/>
  <c r="I21" i="40"/>
  <c r="I24" i="40"/>
  <c r="I23" i="40"/>
  <c r="I22" i="40"/>
  <c r="I26" i="40"/>
  <c r="N23" i="40"/>
  <c r="N24" i="40"/>
  <c r="H27" i="23"/>
  <c r="N25" i="40" l="1"/>
  <c r="J73" i="26" s="1"/>
  <c r="N21" i="40"/>
  <c r="I29" i="23" s="1"/>
  <c r="N27" i="40"/>
  <c r="H29" i="23"/>
  <c r="N26" i="40"/>
  <c r="N22" i="40"/>
  <c r="N28" i="40"/>
  <c r="P29" i="23" s="1"/>
  <c r="I33" i="40"/>
  <c r="I28" i="23"/>
  <c r="J61" i="26"/>
  <c r="L28" i="23"/>
  <c r="J64" i="26"/>
  <c r="M28" i="23"/>
  <c r="J65" i="26"/>
  <c r="O27" i="23"/>
  <c r="J57" i="26"/>
  <c r="L27" i="23"/>
  <c r="J54" i="26"/>
  <c r="K27" i="23"/>
  <c r="J53" i="26"/>
  <c r="M27" i="23"/>
  <c r="J55" i="26"/>
  <c r="J29" i="23"/>
  <c r="J70" i="26"/>
  <c r="K28" i="23"/>
  <c r="J63" i="26"/>
  <c r="J27" i="23"/>
  <c r="J52" i="26"/>
  <c r="N29" i="23"/>
  <c r="J74" i="26"/>
  <c r="P27" i="23"/>
  <c r="J58" i="26"/>
  <c r="O29" i="23"/>
  <c r="J75" i="26"/>
  <c r="I27" i="23"/>
  <c r="D33" i="40"/>
  <c r="J51" i="26"/>
  <c r="L29" i="23"/>
  <c r="J72" i="26"/>
  <c r="N28" i="23"/>
  <c r="J66" i="26"/>
  <c r="N27" i="23"/>
  <c r="J56" i="26"/>
  <c r="K29" i="23"/>
  <c r="J71" i="26"/>
  <c r="J28" i="23"/>
  <c r="J62" i="26"/>
  <c r="B18" i="39"/>
  <c r="L18" i="39"/>
  <c r="G18" i="39"/>
  <c r="A22" i="8"/>
  <c r="J76" i="26" l="1"/>
  <c r="N33" i="40"/>
  <c r="M29" i="23"/>
  <c r="J69" i="26"/>
  <c r="P33" i="40"/>
  <c r="H32" i="23"/>
  <c r="N24" i="39"/>
  <c r="N23" i="39"/>
  <c r="N22" i="39"/>
  <c r="N28" i="39"/>
  <c r="N26" i="39"/>
  <c r="N25" i="39"/>
  <c r="N21" i="39"/>
  <c r="N27" i="39"/>
  <c r="R29" i="23"/>
  <c r="A23" i="8"/>
  <c r="L36" i="26"/>
  <c r="R27" i="23"/>
  <c r="H30" i="23"/>
  <c r="D25" i="39"/>
  <c r="D21" i="39"/>
  <c r="D24" i="39"/>
  <c r="D23" i="39"/>
  <c r="D22" i="39"/>
  <c r="D27" i="39"/>
  <c r="D26" i="39"/>
  <c r="D28" i="39"/>
  <c r="P18" i="39"/>
  <c r="H31" i="23"/>
  <c r="I23" i="39"/>
  <c r="I25" i="39"/>
  <c r="I24" i="39"/>
  <c r="I22" i="39"/>
  <c r="I21" i="39"/>
  <c r="I26" i="39"/>
  <c r="R28" i="23"/>
  <c r="L57" i="26"/>
  <c r="M32" i="23" l="1"/>
  <c r="O29" i="26"/>
  <c r="I31" i="23"/>
  <c r="O17" i="26"/>
  <c r="I33" i="39"/>
  <c r="P32" i="23"/>
  <c r="O32" i="26"/>
  <c r="J32" i="23"/>
  <c r="O26" i="26"/>
  <c r="M30" i="23"/>
  <c r="O11" i="26"/>
  <c r="P30" i="23"/>
  <c r="O14" i="26"/>
  <c r="N30" i="23"/>
  <c r="O12" i="26"/>
  <c r="L31" i="23"/>
  <c r="O20" i="26"/>
  <c r="J30" i="23"/>
  <c r="O8" i="26"/>
  <c r="A24" i="8"/>
  <c r="L37" i="26"/>
  <c r="K32" i="23"/>
  <c r="O27" i="26"/>
  <c r="I32" i="23"/>
  <c r="O25" i="26"/>
  <c r="N33" i="39"/>
  <c r="J31" i="23"/>
  <c r="O18" i="26"/>
  <c r="L32" i="23"/>
  <c r="O28" i="26"/>
  <c r="I30" i="23"/>
  <c r="O7" i="26"/>
  <c r="D33" i="39"/>
  <c r="N31" i="23"/>
  <c r="O22" i="26"/>
  <c r="N32" i="23"/>
  <c r="O30" i="26"/>
  <c r="O30" i="23"/>
  <c r="O13" i="26"/>
  <c r="M31" i="23"/>
  <c r="O21" i="26"/>
  <c r="K30" i="23"/>
  <c r="O9" i="26"/>
  <c r="K31" i="23"/>
  <c r="O19" i="26"/>
  <c r="L30" i="23"/>
  <c r="O10" i="26"/>
  <c r="O32" i="23"/>
  <c r="O31" i="26"/>
  <c r="B6" i="23"/>
  <c r="B52" i="30"/>
  <c r="B51" i="30"/>
  <c r="B50" i="30"/>
  <c r="B49" i="30"/>
  <c r="R32" i="23" l="1"/>
  <c r="P33" i="39"/>
  <c r="R30" i="23"/>
  <c r="A25" i="8"/>
  <c r="L38" i="26"/>
  <c r="R31" i="23"/>
  <c r="E33" i="8"/>
  <c r="A26" i="8" l="1"/>
  <c r="L39" i="26"/>
  <c r="Q30" i="23"/>
  <c r="C15" i="23"/>
  <c r="C12" i="23"/>
  <c r="B12" i="23"/>
  <c r="Q12" i="23" s="1"/>
  <c r="C7" i="30"/>
  <c r="E6" i="30"/>
  <c r="E10" i="30" s="1"/>
  <c r="D5" i="49" s="1"/>
  <c r="B9" i="23"/>
  <c r="Q9" i="23" s="1"/>
  <c r="C6" i="23"/>
  <c r="C9" i="23"/>
  <c r="B15" i="23"/>
  <c r="Q15" i="23" s="1"/>
  <c r="B18" i="23"/>
  <c r="Q18" i="23" s="1"/>
  <c r="B21" i="23"/>
  <c r="Q21" i="23" s="1"/>
  <c r="B24" i="23"/>
  <c r="Q24" i="23" s="1"/>
  <c r="Q27" i="23"/>
  <c r="L35" i="26"/>
  <c r="A51" i="26"/>
  <c r="A29" i="26"/>
  <c r="G7" i="26"/>
  <c r="C7" i="8"/>
  <c r="E6" i="1"/>
  <c r="D6" i="23" s="1"/>
  <c r="E6" i="8"/>
  <c r="D24" i="23" s="1"/>
  <c r="E6" i="6"/>
  <c r="D21" i="23" s="1"/>
  <c r="E6" i="5"/>
  <c r="E10" i="5" s="1"/>
  <c r="E6" i="3"/>
  <c r="D9" i="23" s="1"/>
  <c r="E6" i="7"/>
  <c r="D15" i="23" s="1"/>
  <c r="Q6" i="23"/>
  <c r="Q52" i="23" l="1"/>
  <c r="Q51" i="23"/>
  <c r="E12" i="5"/>
  <c r="E7" i="49" s="1"/>
  <c r="D7" i="49"/>
  <c r="A27" i="8"/>
  <c r="A28" i="8" s="1"/>
  <c r="A29" i="8" s="1"/>
  <c r="A30" i="8" s="1"/>
  <c r="A31" i="8" s="1"/>
  <c r="A32" i="8" s="1"/>
  <c r="L40" i="26"/>
  <c r="F12" i="23"/>
  <c r="E12" i="30"/>
  <c r="E5" i="49" s="1"/>
  <c r="E10" i="3"/>
  <c r="D4" i="49" s="1"/>
  <c r="E10" i="8"/>
  <c r="D9" i="49" s="1"/>
  <c r="E10" i="6"/>
  <c r="B51" i="23"/>
  <c r="E10" i="7"/>
  <c r="E10" i="1"/>
  <c r="D12" i="23"/>
  <c r="E12" i="1" l="1"/>
  <c r="D3" i="49"/>
  <c r="E12" i="7"/>
  <c r="E6" i="49" s="1"/>
  <c r="D6" i="49"/>
  <c r="E12" i="6"/>
  <c r="E8" i="49" s="1"/>
  <c r="D8" i="49"/>
  <c r="E12" i="8"/>
  <c r="F9" i="23"/>
  <c r="E12" i="3"/>
  <c r="F24" i="23"/>
  <c r="F21" i="23"/>
  <c r="G18" i="23"/>
  <c r="D51" i="23"/>
  <c r="F6" i="23"/>
  <c r="E14" i="5"/>
  <c r="B18" i="5" s="1"/>
  <c r="H18" i="23" s="1"/>
  <c r="G12" i="23"/>
  <c r="E14" i="30"/>
  <c r="E14" i="6" l="1"/>
  <c r="B18" i="6" s="1"/>
  <c r="H21" i="23" s="1"/>
  <c r="G21" i="23"/>
  <c r="E14" i="7"/>
  <c r="B18" i="7" s="1"/>
  <c r="E14" i="8"/>
  <c r="B18" i="8" s="1"/>
  <c r="H24" i="23" s="1"/>
  <c r="E9" i="49"/>
  <c r="L18" i="30"/>
  <c r="G18" i="30"/>
  <c r="B18" i="30"/>
  <c r="F51" i="23"/>
  <c r="G24" i="23"/>
  <c r="G15" i="23"/>
  <c r="E14" i="3"/>
  <c r="B18" i="3" s="1"/>
  <c r="H9" i="23" s="1"/>
  <c r="E4" i="49"/>
  <c r="G6" i="23"/>
  <c r="E3" i="49"/>
  <c r="D25" i="6"/>
  <c r="D22" i="6"/>
  <c r="D25" i="5"/>
  <c r="D21" i="5"/>
  <c r="D22" i="5"/>
  <c r="D24" i="5"/>
  <c r="D26" i="5"/>
  <c r="D23" i="5"/>
  <c r="D22" i="8"/>
  <c r="L18" i="8"/>
  <c r="H26" i="23" s="1"/>
  <c r="L18" i="3"/>
  <c r="H11" i="23" s="1"/>
  <c r="G18" i="3"/>
  <c r="H10" i="23" s="1"/>
  <c r="L18" i="6"/>
  <c r="H23" i="23" s="1"/>
  <c r="G18" i="6"/>
  <c r="L18" i="5"/>
  <c r="H20" i="23" s="1"/>
  <c r="G18" i="5"/>
  <c r="H19" i="23" s="1"/>
  <c r="G9" i="23"/>
  <c r="E14" i="1"/>
  <c r="B18" i="1" s="1"/>
  <c r="D22" i="3" l="1"/>
  <c r="D21" i="8"/>
  <c r="D26" i="8"/>
  <c r="I23" i="6"/>
  <c r="I22" i="6"/>
  <c r="I24" i="6"/>
  <c r="I21" i="6"/>
  <c r="H15" i="23"/>
  <c r="D23" i="7"/>
  <c r="K15" i="23" s="1"/>
  <c r="D25" i="7"/>
  <c r="M15" i="23" s="1"/>
  <c r="D26" i="7"/>
  <c r="D21" i="7"/>
  <c r="I15" i="23" s="1"/>
  <c r="D22" i="7"/>
  <c r="J15" i="23" s="1"/>
  <c r="D24" i="7"/>
  <c r="L15" i="23" s="1"/>
  <c r="D22" i="1"/>
  <c r="D23" i="1"/>
  <c r="D21" i="1"/>
  <c r="D24" i="1"/>
  <c r="G18" i="8"/>
  <c r="D24" i="8"/>
  <c r="D25" i="8"/>
  <c r="D23" i="8"/>
  <c r="K24" i="23" s="1"/>
  <c r="D23" i="3"/>
  <c r="K9" i="23" s="1"/>
  <c r="D24" i="3"/>
  <c r="L9" i="23" s="1"/>
  <c r="D25" i="3"/>
  <c r="D26" i="3"/>
  <c r="I9" i="23"/>
  <c r="D24" i="6"/>
  <c r="D21" i="6"/>
  <c r="D23" i="6"/>
  <c r="K21" i="23" s="1"/>
  <c r="D26" i="6"/>
  <c r="N21" i="23" s="1"/>
  <c r="G18" i="7"/>
  <c r="N15" i="23"/>
  <c r="L18" i="7"/>
  <c r="D34" i="26"/>
  <c r="N18" i="23"/>
  <c r="J34" i="26"/>
  <c r="K18" i="23"/>
  <c r="J31" i="26"/>
  <c r="D33" i="26"/>
  <c r="I24" i="23"/>
  <c r="O35" i="26"/>
  <c r="L18" i="23"/>
  <c r="J32" i="26"/>
  <c r="J21" i="23"/>
  <c r="D52" i="26"/>
  <c r="N24" i="23"/>
  <c r="O40" i="26"/>
  <c r="J18" i="23"/>
  <c r="J30" i="26"/>
  <c r="M21" i="23"/>
  <c r="D55" i="26"/>
  <c r="H12" i="23"/>
  <c r="D24" i="30"/>
  <c r="D23" i="30"/>
  <c r="D22" i="30"/>
  <c r="D21" i="30"/>
  <c r="M9" i="23"/>
  <c r="L24" i="23"/>
  <c r="O38" i="26"/>
  <c r="I18" i="23"/>
  <c r="J29" i="26"/>
  <c r="I24" i="30"/>
  <c r="H13" i="23"/>
  <c r="I22" i="30"/>
  <c r="I23" i="30"/>
  <c r="I21" i="30"/>
  <c r="M24" i="23"/>
  <c r="O39" i="26"/>
  <c r="M18" i="23"/>
  <c r="J33" i="26"/>
  <c r="G51" i="23"/>
  <c r="N24" i="30"/>
  <c r="H14" i="23"/>
  <c r="N21" i="30"/>
  <c r="N22" i="30"/>
  <c r="N23" i="30"/>
  <c r="H6" i="23"/>
  <c r="D31" i="26"/>
  <c r="N9" i="23"/>
  <c r="H22" i="23"/>
  <c r="L21" i="23"/>
  <c r="D54" i="26"/>
  <c r="E18" i="49"/>
  <c r="J9" i="23"/>
  <c r="J24" i="23"/>
  <c r="O36" i="26"/>
  <c r="I21" i="23"/>
  <c r="D51" i="26"/>
  <c r="N23" i="5"/>
  <c r="N26" i="5"/>
  <c r="N24" i="5"/>
  <c r="N22" i="5"/>
  <c r="N21" i="5"/>
  <c r="N25" i="5"/>
  <c r="I23" i="5"/>
  <c r="I21" i="5"/>
  <c r="I24" i="5"/>
  <c r="I22" i="5"/>
  <c r="I22" i="8"/>
  <c r="I23" i="8"/>
  <c r="I21" i="8"/>
  <c r="I24" i="8"/>
  <c r="N23" i="8"/>
  <c r="N22" i="8"/>
  <c r="N26" i="8"/>
  <c r="N25" i="8"/>
  <c r="N24" i="8"/>
  <c r="N21" i="8"/>
  <c r="N26" i="3"/>
  <c r="N25" i="3"/>
  <c r="N24" i="3"/>
  <c r="N23" i="3"/>
  <c r="N22" i="3"/>
  <c r="N21" i="3"/>
  <c r="I24" i="3"/>
  <c r="I23" i="3"/>
  <c r="I22" i="3"/>
  <c r="I21" i="3"/>
  <c r="P18" i="3"/>
  <c r="P18" i="6"/>
  <c r="L18" i="1"/>
  <c r="G18" i="1"/>
  <c r="P18" i="5"/>
  <c r="P18" i="30"/>
  <c r="D30" i="26" l="1"/>
  <c r="D33" i="3"/>
  <c r="D32" i="26"/>
  <c r="D53" i="26"/>
  <c r="D33" i="8"/>
  <c r="O37" i="26"/>
  <c r="D56" i="26"/>
  <c r="J7" i="26"/>
  <c r="H17" i="23"/>
  <c r="I17" i="23"/>
  <c r="M17" i="23"/>
  <c r="J17" i="23"/>
  <c r="I24" i="7"/>
  <c r="L16" i="23" s="1"/>
  <c r="I21" i="7"/>
  <c r="I22" i="7"/>
  <c r="J16" i="23" s="1"/>
  <c r="I23" i="7"/>
  <c r="D39" i="26" s="1"/>
  <c r="N22" i="1"/>
  <c r="N23" i="1"/>
  <c r="N24" i="1"/>
  <c r="N25" i="1"/>
  <c r="N26" i="1"/>
  <c r="N21" i="1"/>
  <c r="I23" i="1"/>
  <c r="I21" i="1"/>
  <c r="I22" i="1"/>
  <c r="I24" i="1"/>
  <c r="R24" i="23"/>
  <c r="H25" i="23"/>
  <c r="P18" i="8"/>
  <c r="D29" i="26"/>
  <c r="H16" i="23"/>
  <c r="P18" i="7"/>
  <c r="L26" i="23"/>
  <c r="O52" i="26"/>
  <c r="I13" i="23"/>
  <c r="I33" i="30"/>
  <c r="I11" i="23"/>
  <c r="J21" i="26"/>
  <c r="M26" i="23"/>
  <c r="O53" i="26"/>
  <c r="J19" i="23"/>
  <c r="J38" i="26"/>
  <c r="N20" i="23"/>
  <c r="J48" i="26"/>
  <c r="D29" i="49"/>
  <c r="D32" i="49"/>
  <c r="D31" i="49"/>
  <c r="D33" i="49"/>
  <c r="L6" i="23"/>
  <c r="K13" i="23"/>
  <c r="K12" i="23"/>
  <c r="N17" i="23"/>
  <c r="D48" i="26"/>
  <c r="J11" i="23"/>
  <c r="N26" i="23"/>
  <c r="O54" i="26"/>
  <c r="L19" i="23"/>
  <c r="J40" i="26"/>
  <c r="K20" i="23"/>
  <c r="J45" i="26"/>
  <c r="R21" i="23"/>
  <c r="K22" i="23"/>
  <c r="D61" i="26"/>
  <c r="M6" i="23"/>
  <c r="L14" i="23"/>
  <c r="J13" i="23"/>
  <c r="L12" i="23"/>
  <c r="J25" i="23"/>
  <c r="O44" i="26"/>
  <c r="K23" i="23"/>
  <c r="L22" i="23"/>
  <c r="D62" i="26"/>
  <c r="R9" i="23"/>
  <c r="L10" i="23"/>
  <c r="N14" i="23"/>
  <c r="J26" i="23"/>
  <c r="O50" i="26"/>
  <c r="L11" i="23"/>
  <c r="K19" i="23"/>
  <c r="J39" i="26"/>
  <c r="L23" i="23"/>
  <c r="M22" i="23"/>
  <c r="K14" i="23"/>
  <c r="L13" i="23"/>
  <c r="L20" i="23"/>
  <c r="J46" i="26"/>
  <c r="M11" i="23"/>
  <c r="L25" i="23"/>
  <c r="O46" i="26"/>
  <c r="M20" i="23"/>
  <c r="J47" i="26"/>
  <c r="N23" i="23"/>
  <c r="I22" i="23"/>
  <c r="D59" i="26"/>
  <c r="J6" i="23"/>
  <c r="J14" i="23"/>
  <c r="N12" i="23"/>
  <c r="R15" i="23"/>
  <c r="J23" i="23"/>
  <c r="K11" i="23"/>
  <c r="I33" i="8"/>
  <c r="K26" i="23"/>
  <c r="O51" i="26"/>
  <c r="H8" i="23"/>
  <c r="I25" i="23"/>
  <c r="O43" i="26"/>
  <c r="N22" i="23"/>
  <c r="N6" i="23"/>
  <c r="I14" i="23"/>
  <c r="O71" i="26"/>
  <c r="R18" i="23"/>
  <c r="I12" i="23"/>
  <c r="K6" i="23"/>
  <c r="J12" i="23"/>
  <c r="L17" i="23"/>
  <c r="D46" i="26"/>
  <c r="I19" i="23"/>
  <c r="J37" i="26"/>
  <c r="H7" i="23"/>
  <c r="I10" i="23"/>
  <c r="J15" i="26"/>
  <c r="K17" i="23"/>
  <c r="D45" i="26"/>
  <c r="J10" i="23"/>
  <c r="N11" i="23"/>
  <c r="I20" i="23"/>
  <c r="J43" i="26"/>
  <c r="M23" i="23"/>
  <c r="D47" i="26"/>
  <c r="K10" i="23"/>
  <c r="I26" i="23"/>
  <c r="O49" i="26"/>
  <c r="K25" i="23"/>
  <c r="O45" i="26"/>
  <c r="J20" i="23"/>
  <c r="J44" i="26"/>
  <c r="I23" i="23"/>
  <c r="J22" i="23"/>
  <c r="D60" i="26"/>
  <c r="I6" i="23"/>
  <c r="D7" i="26"/>
  <c r="M14" i="23"/>
  <c r="M12" i="23"/>
  <c r="N33" i="8"/>
  <c r="I33" i="3"/>
  <c r="N33" i="6"/>
  <c r="D33" i="5"/>
  <c r="D33" i="6"/>
  <c r="N33" i="5"/>
  <c r="I33" i="6"/>
  <c r="N33" i="3"/>
  <c r="D33" i="7"/>
  <c r="N33" i="30"/>
  <c r="I33" i="5"/>
  <c r="D33" i="1"/>
  <c r="D33" i="30"/>
  <c r="P18" i="1"/>
  <c r="K16" i="23" l="1"/>
  <c r="D44" i="26"/>
  <c r="I33" i="7"/>
  <c r="P33" i="3"/>
  <c r="D38" i="26"/>
  <c r="I16" i="23"/>
  <c r="D37" i="26"/>
  <c r="N33" i="7"/>
  <c r="P33" i="7" s="1"/>
  <c r="D43" i="26"/>
  <c r="H51" i="23"/>
  <c r="P33" i="8"/>
  <c r="R11" i="23"/>
  <c r="I8" i="23"/>
  <c r="D21" i="26"/>
  <c r="R17" i="23"/>
  <c r="R12" i="23"/>
  <c r="J8" i="23"/>
  <c r="L8" i="23"/>
  <c r="I7" i="23"/>
  <c r="D15" i="26"/>
  <c r="I33" i="1"/>
  <c r="R26" i="23"/>
  <c r="R20" i="23"/>
  <c r="R10" i="23"/>
  <c r="K8" i="23"/>
  <c r="J7" i="23"/>
  <c r="D16" i="26"/>
  <c r="R22" i="23"/>
  <c r="R16" i="23"/>
  <c r="R13" i="23"/>
  <c r="R14" i="23"/>
  <c r="R23" i="23"/>
  <c r="L7" i="23"/>
  <c r="R25" i="23"/>
  <c r="R19" i="23"/>
  <c r="D34" i="49"/>
  <c r="N8" i="23"/>
  <c r="K7" i="23"/>
  <c r="M8" i="23"/>
  <c r="P33" i="5"/>
  <c r="P33" i="30"/>
  <c r="P33" i="6"/>
  <c r="N33" i="1"/>
  <c r="R6" i="23"/>
  <c r="P33" i="1" l="1"/>
  <c r="R7" i="23"/>
  <c r="R8" i="23"/>
  <c r="R51" i="23" l="1"/>
</calcChain>
</file>

<file path=xl/sharedStrings.xml><?xml version="1.0" encoding="utf-8"?>
<sst xmlns="http://schemas.openxmlformats.org/spreadsheetml/2006/main" count="1000" uniqueCount="260">
  <si>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</si>
  <si>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</si>
  <si>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</si>
  <si>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</si>
  <si>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</si>
  <si>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</si>
  <si>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</si>
  <si>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</si>
  <si>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</si>
  <si>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</si>
  <si>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</si>
  <si>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</si>
  <si>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</si>
  <si>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</si>
  <si>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</si>
  <si>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Bareback</t>
  </si>
  <si>
    <t>Saddle Bronc</t>
  </si>
  <si>
    <t>Bull Riding</t>
  </si>
  <si>
    <t>Steer Wrestling</t>
  </si>
  <si>
    <t>Team Roping Header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</si>
  <si>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</si>
  <si>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</si>
  <si>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</si>
  <si>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</si>
  <si>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</si>
  <si>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</si>
  <si>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</si>
  <si>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</si>
  <si>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</si>
  <si>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</si>
  <si>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</si>
  <si>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</si>
  <si>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</si>
  <si>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Long Go (100%)</t>
  </si>
  <si>
    <t>Ladies Barrel Racing</t>
  </si>
  <si>
    <t>7th</t>
  </si>
  <si>
    <t>8th</t>
  </si>
  <si>
    <t>Total:</t>
  </si>
  <si>
    <t>Score</t>
  </si>
  <si>
    <t>Stock Fee</t>
  </si>
  <si>
    <t>Amount</t>
  </si>
  <si>
    <t>Sanction Fee</t>
  </si>
  <si>
    <t>Total Payout</t>
  </si>
  <si>
    <t>Rodeo:</t>
  </si>
  <si>
    <t>Team Roping Heeler</t>
  </si>
  <si>
    <t>Long Go (40%)</t>
  </si>
  <si>
    <t>Saddle Bronc Long Go</t>
  </si>
  <si>
    <t>Saddle Bronc Short Go</t>
  </si>
  <si>
    <t>Saddle Bronc Average</t>
  </si>
  <si>
    <t>Steer Wrestling Long Go</t>
  </si>
  <si>
    <t>Steer Wrestling Short Go</t>
  </si>
  <si>
    <t>Steer Wrestling Average</t>
  </si>
  <si>
    <t>Ladies Breakaway Long Go</t>
  </si>
  <si>
    <t>Ladies Breakaway Average</t>
  </si>
  <si>
    <t>Ladies Barrel Racing Long Go</t>
  </si>
  <si>
    <t>Ladies Barrel Racing Short Go</t>
  </si>
  <si>
    <t>Ladies Barrel Racing Average</t>
  </si>
  <si>
    <t>Team Roping Header Long Go</t>
  </si>
  <si>
    <t>Team Roping Header Short Go</t>
  </si>
  <si>
    <t>Team Roping Header Average</t>
  </si>
  <si>
    <t>Team Roping Heeler Long Go</t>
  </si>
  <si>
    <t>Team Roping Heeler Short Go</t>
  </si>
  <si>
    <t>Team Roping Heeler Average</t>
  </si>
  <si>
    <t>Bareback - Long Go</t>
  </si>
  <si>
    <t>Bareback - Short Go</t>
  </si>
  <si>
    <t xml:space="preserve">Saddle Bronc Long Go </t>
  </si>
  <si>
    <t>Sr. Team Roping Header</t>
  </si>
  <si>
    <t>Sr. Team Roping Heeler</t>
  </si>
  <si>
    <t>Bull Riding - Long Go</t>
  </si>
  <si>
    <t>Bull Riding - Short Go</t>
  </si>
  <si>
    <t>Steer Wrestling - Long Go</t>
  </si>
  <si>
    <t>Steer Wrestling - Short Go</t>
  </si>
  <si>
    <t>Tie Down Roping - Long Go</t>
  </si>
  <si>
    <t>Tie Down Roping - Short Go</t>
  </si>
  <si>
    <t>Tie Down Roping - Average</t>
  </si>
  <si>
    <t>Ladies Breakaway - Long Go</t>
  </si>
  <si>
    <t>Ladies Breakaway - Short Go</t>
  </si>
  <si>
    <t>Ladies Breakaway - Average</t>
  </si>
  <si>
    <t>Ladies Barrel Racing - Long Go</t>
  </si>
  <si>
    <t>Ladies Barrel Racing - Short Go</t>
  </si>
  <si>
    <t>Ladies Barrel Racing - Average</t>
  </si>
  <si>
    <t>Team Roping Header - Long Go</t>
  </si>
  <si>
    <t>Team Roping Header - Short Go</t>
  </si>
  <si>
    <t>Team Roping Header - Average</t>
  </si>
  <si>
    <t>Team Roping Heeler - Long Go</t>
  </si>
  <si>
    <t>Team Roping Heeler - Short Go</t>
  </si>
  <si>
    <t>Team Roping Heeler - Average</t>
  </si>
  <si>
    <t>Jr Breakaway - Long Go</t>
  </si>
  <si>
    <t>Jr Breakaway - Short Go</t>
  </si>
  <si>
    <t>Jr Breakaway - Average</t>
  </si>
  <si>
    <t>Jr Barrel Racing - Long Go</t>
  </si>
  <si>
    <t>Jr. Bull Riding</t>
  </si>
  <si>
    <t>Jr Bull Riding - Long Go</t>
  </si>
  <si>
    <t>Jr Bull Riding - Short Go</t>
  </si>
  <si>
    <t>Jr Bull Riding - Average</t>
  </si>
  <si>
    <t>Sr Breakaway - Long Go</t>
  </si>
  <si>
    <t>Sr Breakaway - Short go</t>
  </si>
  <si>
    <t>Sr. Team Roping Header - Long Go</t>
  </si>
  <si>
    <t>Sr. Team Roping Header - Short Go</t>
  </si>
  <si>
    <t>Sr. Team Roping Header - Average</t>
  </si>
  <si>
    <t>Sr. Team Roping Heeler - Long Go</t>
  </si>
  <si>
    <t>Sr. Team Roping Heeler - Short Go</t>
  </si>
  <si>
    <t>Sr. Team Roping Heeler - Average</t>
  </si>
  <si>
    <t>Jr. Barrel Racing</t>
  </si>
  <si>
    <t>PER GO-ROUND (after Total Prize Money is divided into go-rounds):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</si>
  <si>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</si>
  <si>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t xml:space="preserve">                                     Six Places:   Timed/Riding Events: $2000+ pays six places, 29%, 24%, 19%, 14%, 9%, 5%</t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</si>
  <si>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</si>
  <si>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t>Jr. Breakaway</t>
  </si>
  <si>
    <t>Sr. Breakaway</t>
  </si>
  <si>
    <r>
      <rPr>
        <b/>
        <sz val="10"/>
        <color indexed="8"/>
        <rFont val="Cambria"/>
        <family val="1"/>
        <scheme val="major"/>
      </rP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</si>
  <si>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Bareback Long Go</t>
  </si>
  <si>
    <t>Bareback Short Go</t>
  </si>
  <si>
    <t>Bareback Average</t>
  </si>
  <si>
    <t>Ladies Breakaway Short Go</t>
  </si>
  <si>
    <t>Tie Down Roping Long Go</t>
  </si>
  <si>
    <t>Tie Down Roping Short Go</t>
  </si>
  <si>
    <t>Tie Down Roping Average</t>
  </si>
  <si>
    <t>Bull Riding Long Go</t>
  </si>
  <si>
    <t>Bull Riding Short Go</t>
  </si>
  <si>
    <t>Bull Riding Average</t>
  </si>
  <si>
    <t>Sr. Breakaway Long Go</t>
  </si>
  <si>
    <t>Sr. Breakaway Short Go</t>
  </si>
  <si>
    <t>Sr. Breakaway Average</t>
  </si>
  <si>
    <t>Jr. Breakaway Long Go</t>
  </si>
  <si>
    <t>Jr. Breakaway Short Go</t>
  </si>
  <si>
    <t>Jr. Breakaway Average</t>
  </si>
  <si>
    <t>Jr,. Barrel Racing Long Go</t>
  </si>
  <si>
    <t>Jr. Barrel Racing Short Go</t>
  </si>
  <si>
    <t>Jr. Barrel Racing Average</t>
  </si>
  <si>
    <t>Sr. Team Roping Header Long Go</t>
  </si>
  <si>
    <t>Sr. Team Roping Header Short Go</t>
  </si>
  <si>
    <t>Sr. Team Roping Header Average</t>
  </si>
  <si>
    <t>Sr. Team Roping Heeler Long Go</t>
  </si>
  <si>
    <t>Sr. Team Roping Heeler Short Go</t>
  </si>
  <si>
    <t>Sr. Team Roping Heeler Average</t>
  </si>
  <si>
    <t>Jr. Bull Riding Long Go</t>
  </si>
  <si>
    <t>Jr. Bull Riding Short Go</t>
  </si>
  <si>
    <t>Jr. Bull Riding Average</t>
  </si>
  <si>
    <t>Bull Riding - Average</t>
  </si>
  <si>
    <t>Steer Wrestling - Average</t>
  </si>
  <si>
    <t>Bareback - Average</t>
  </si>
  <si>
    <t>Jr Barrel Racing - Average</t>
  </si>
  <si>
    <t>Sr Breakaway - Average</t>
  </si>
  <si>
    <t xml:space="preserve">Saddle Bronc Short Go </t>
  </si>
  <si>
    <t>Entry Breakdown &amp; Payoff</t>
  </si>
  <si>
    <t>Total due to Committee:</t>
  </si>
  <si>
    <t>Total due to INFR:</t>
  </si>
  <si>
    <t>sanction fees &amp; electric eye</t>
  </si>
  <si>
    <t xml:space="preserve"> sent to INFR</t>
  </si>
  <si>
    <t>paid out $1800 for Midwest</t>
  </si>
  <si>
    <t>MidWest ($6 per Contestant)</t>
  </si>
  <si>
    <t>CES ($4 per contestant)</t>
  </si>
  <si>
    <t>Judge 2</t>
  </si>
  <si>
    <t>Judge 1</t>
  </si>
  <si>
    <t>391 contestants</t>
  </si>
  <si>
    <t>Personnel Fees Collected &amp; Paid Out</t>
  </si>
  <si>
    <t>Total Sanction Fees</t>
  </si>
  <si>
    <t>STR Hlr</t>
  </si>
  <si>
    <t>STR Hdr</t>
  </si>
  <si>
    <t>Sr. BAW</t>
  </si>
  <si>
    <t>Jr Bulls</t>
  </si>
  <si>
    <t>JBAR</t>
  </si>
  <si>
    <t>Jr BAW</t>
  </si>
  <si>
    <t>TR HLR</t>
  </si>
  <si>
    <t>TR HDR</t>
  </si>
  <si>
    <t>LBR</t>
  </si>
  <si>
    <t>Ladies BAW</t>
  </si>
  <si>
    <t>Tie Down</t>
  </si>
  <si>
    <t>SW</t>
  </si>
  <si>
    <t>Bulls</t>
  </si>
  <si>
    <t>SB</t>
  </si>
  <si>
    <t>BB</t>
  </si>
  <si>
    <t>Payout Pot</t>
  </si>
  <si>
    <t>Contestants</t>
  </si>
  <si>
    <t>Stock Contractor</t>
  </si>
  <si>
    <t>Stock</t>
  </si>
  <si>
    <t>Entries</t>
  </si>
  <si>
    <t>Stock Fees</t>
  </si>
  <si>
    <t>June 17-19, 2022</t>
  </si>
  <si>
    <t>CES</t>
  </si>
  <si>
    <t>Total due to Association:</t>
  </si>
  <si>
    <t>Electric Eye Fee:</t>
  </si>
  <si>
    <t>2022 Tsuut'ina INFR Tour Qualifier</t>
  </si>
  <si>
    <t>2022 Tsuut'ina INFR Qualifier</t>
  </si>
  <si>
    <t>2022 Tsuut'ina Qualifier</t>
  </si>
  <si>
    <t>2022 Tsuut'ina INFR Qualfier</t>
  </si>
  <si>
    <t>Cam Bruised Head - Standoff, AB</t>
  </si>
  <si>
    <t>Curly Twigg - Lethbridge, AB</t>
  </si>
  <si>
    <t>Clay Ramone - Hoopa, CA</t>
  </si>
  <si>
    <t>Otys Little Mustache - Brocket, AB</t>
  </si>
  <si>
    <t>Trevin Fox - Fort Hall</t>
  </si>
  <si>
    <t>Shane Day Chief - Standoff, AB</t>
  </si>
  <si>
    <t>Keenan Crane - Cardston, AB</t>
  </si>
  <si>
    <t>Kaden Conway - Wickenberg, AZ</t>
  </si>
  <si>
    <t>Arlan Minue - Warner, AB</t>
  </si>
  <si>
    <t>NT</t>
  </si>
  <si>
    <t>Kyle Jacobs - Tsuut'Ina, AB</t>
  </si>
  <si>
    <t>Nolan Conway - Cut Bank, MT</t>
  </si>
  <si>
    <t>Bart Holloway - Siksika, AB</t>
  </si>
  <si>
    <t>Kash Shade - Lethbridge, AB</t>
  </si>
  <si>
    <t>Cammie Fox - Cardston, AB</t>
  </si>
  <si>
    <t>Katelin Conway - Cut Bank, MT</t>
  </si>
  <si>
    <t>Mykayla Tatsey - Valier, MT</t>
  </si>
  <si>
    <t>Raven Shade - Cardston, AB</t>
  </si>
  <si>
    <t>Bailey Bruised Head - Standoff, AB</t>
  </si>
  <si>
    <t>Leanne Johnson - Cut Bank, MT</t>
  </si>
  <si>
    <t>Erin Jones - Chinle, AZ</t>
  </si>
  <si>
    <t>Colleen Crawler - Morley, AB</t>
  </si>
  <si>
    <t>Callie Dixon - Morley, AB</t>
  </si>
  <si>
    <t>Roxanne Not Afraid - Lodge Grass, MT</t>
  </si>
  <si>
    <t>Darcy Dixon - Morley, AB</t>
  </si>
  <si>
    <t>Alfred Armajo Jr - Lodge Grass, MT</t>
  </si>
  <si>
    <t>Ken Augare - Browning, MT</t>
  </si>
  <si>
    <t>Spider Ramone - Hays, MT</t>
  </si>
  <si>
    <t>Ollie Benjamin - Morley, AB</t>
  </si>
  <si>
    <t>Kolby Kittson - Browning, MT</t>
  </si>
  <si>
    <t xml:space="preserve"> </t>
  </si>
  <si>
    <t>Gavaro Harrison - Chinle, AZ</t>
  </si>
  <si>
    <t>Dustin Bird - Cut Bank, MT</t>
  </si>
  <si>
    <t>Troy Crawler - Morley, AB</t>
  </si>
  <si>
    <t>Zane Not Afraid - Lodge Grass, MT</t>
  </si>
  <si>
    <t>Jay Crawler - Morley, AB</t>
  </si>
  <si>
    <t>Boyd Wesley &amp; Garrett Benjamin</t>
  </si>
  <si>
    <t>Nolan Conway &amp; Colten Lefthand</t>
  </si>
  <si>
    <t>Cameron Billy &amp; Colten Lefthand</t>
  </si>
  <si>
    <t>Casey Cummins &amp; Brandon Ben</t>
  </si>
  <si>
    <t>Billy Potts &amp; Garrett Benjamin</t>
  </si>
  <si>
    <t>Jackson Louis &amp; Casey Cummins</t>
  </si>
  <si>
    <t>Talan Cummins &amp; Clay Gunshows</t>
  </si>
  <si>
    <t>Wright Bruised Head &amp; Otys Little Mustache</t>
  </si>
  <si>
    <t>Preston Louis - Browning, MT</t>
  </si>
  <si>
    <t>Kevin Wallace - Mount Currie, BC</t>
  </si>
  <si>
    <t>Tahj Wells - Browning, MT</t>
  </si>
  <si>
    <t>Jacob Todechine - Gallup, NM</t>
  </si>
  <si>
    <t>Mike White Quills - Cardston, AB</t>
  </si>
  <si>
    <t>Martin Watson - Box Elder, MT</t>
  </si>
  <si>
    <t>Aarianna Henry - Box Elder, MT</t>
  </si>
  <si>
    <t>Brooke Fox - Cardston, AB</t>
  </si>
  <si>
    <t>Addison Conway - Cut Bank, MT</t>
  </si>
  <si>
    <t>Memphis Dodginghorse - Calgary, AB</t>
  </si>
  <si>
    <t>Sam Bird &amp; Alfred Armajo Jr</t>
  </si>
  <si>
    <t>David Shade &amp; Slim Creighton</t>
  </si>
  <si>
    <t>Hardee Skunkcap &amp; Terry Tatsey</t>
  </si>
  <si>
    <t>Leonard Williams Sr. &amp; Dexter Donald</t>
  </si>
  <si>
    <t>Sonya Dodginghorse - Tsuu T'Ina Nation, AB</t>
  </si>
  <si>
    <t>Cayda Dodginghorse - Tsuut'Ina Nation, AB</t>
  </si>
  <si>
    <t>Tristin Bull - Good Fish Lake, AB</t>
  </si>
  <si>
    <t>Cheyenne Black Water - Cardston, AB</t>
  </si>
  <si>
    <t>Brittany Bird - Cut Bank, MT</t>
  </si>
  <si>
    <t>Shayanne Bear - Whitewood, SK</t>
  </si>
  <si>
    <t>Rhegan Shade - Lethbridge, AB</t>
  </si>
  <si>
    <t>SHORT</t>
  </si>
  <si>
    <t>Ty St Goddard &amp; Shawn Bird</t>
  </si>
  <si>
    <t>Emmet Crowchild &amp; Dexter Donald</t>
  </si>
  <si>
    <t>Janae Devine - Cardston, AB</t>
  </si>
  <si>
    <t>Checotah Many Grey Horses - Cardston, AB</t>
  </si>
  <si>
    <t>No Rides</t>
  </si>
  <si>
    <t>Ground Split</t>
  </si>
  <si>
    <t>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</si>
</sst>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00"/>
    <numFmt numFmtId="168" formatCode="0.0"/>
    <numFmt numFmtId="169" formatCode="mm/dd/yy;@"/>
    <numFmt numFmtId="170" formatCode="[$-409]mmmm\ d\,\ yyyy;@"/>
    <numFmt numFmtId="171" formatCode="#,##0.000"/>
  </numFmts>
  <fonts count="6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7"/>
      <name val="Cambria"/>
      <family val="1"/>
      <scheme val="maj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9"/>
      <name val="Avenir Next LT Pro Dem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double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slantDash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slantDash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Dash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DashDot">
        <color indexed="64"/>
      </bottom>
      <diagonal/>
    </border>
    <border>
      <left style="dashDotDot">
        <color indexed="64"/>
      </left>
      <right style="dashDotDot">
        <color indexed="64"/>
      </right>
      <top style="mediumDash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DashDot">
        <color indexed="64"/>
      </bottom>
      <diagonal/>
    </border>
    <border>
      <left/>
      <right style="dashDotDot">
        <color indexed="64"/>
      </right>
      <top style="mediumDashDot">
        <color indexed="64"/>
      </top>
      <bottom style="dashDotDot">
        <color indexed="64"/>
      </bottom>
      <diagonal/>
    </border>
    <border>
      <left/>
      <right style="dashDot">
        <color indexed="64"/>
      </right>
      <top style="double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546">
    <xf numFmtId="0" fontId="0" fillId="0" borderId="0" xfId="0"/>
    <xf numFmtId="0" fontId="20" fillId="0" borderId="0" xfId="38" applyFont="1"/>
    <xf numFmtId="0" fontId="20" fillId="0" borderId="0" xfId="38" applyFont="1" applyAlignment="1">
      <alignment horizontal="center"/>
    </xf>
    <xf numFmtId="0" fontId="20" fillId="0" borderId="14" xfId="38" applyFont="1" applyBorder="1" applyAlignment="1">
      <alignment horizontal="left"/>
    </xf>
    <xf numFmtId="0" fontId="20" fillId="0" borderId="14" xfId="38" applyFont="1" applyBorder="1" applyAlignment="1">
      <alignment horizontal="center" wrapText="1"/>
    </xf>
    <xf numFmtId="0" fontId="24" fillId="0" borderId="0" xfId="38" applyFont="1"/>
    <xf numFmtId="166" fontId="20" fillId="0" borderId="0" xfId="38" applyNumberFormat="1" applyFont="1" applyAlignment="1">
      <alignment horizontal="center"/>
    </xf>
    <xf numFmtId="0" fontId="24" fillId="0" borderId="0" xfId="38" applyFont="1" applyAlignment="1">
      <alignment horizontal="center"/>
    </xf>
    <xf numFmtId="0" fontId="24" fillId="0" borderId="0" xfId="38" applyFont="1" applyAlignment="1">
      <alignment horizontal="right"/>
    </xf>
    <xf numFmtId="166" fontId="24" fillId="0" borderId="0" xfId="38" applyNumberFormat="1" applyFont="1" applyAlignment="1">
      <alignment horizontal="center"/>
    </xf>
    <xf numFmtId="9" fontId="20" fillId="0" borderId="0" xfId="38" applyNumberFormat="1" applyFont="1"/>
    <xf numFmtId="9" fontId="24" fillId="0" borderId="0" xfId="38" applyNumberFormat="1" applyFont="1" applyAlignment="1">
      <alignment horizontal="center"/>
    </xf>
    <xf numFmtId="0" fontId="24" fillId="25" borderId="0" xfId="38" applyFont="1" applyFill="1"/>
    <xf numFmtId="0" fontId="24" fillId="25" borderId="0" xfId="38" applyFont="1" applyFill="1" applyAlignment="1">
      <alignment horizontal="center"/>
    </xf>
    <xf numFmtId="0" fontId="26" fillId="0" borderId="16" xfId="38" applyFont="1" applyBorder="1" applyAlignment="1">
      <alignment horizontal="right"/>
    </xf>
    <xf numFmtId="0" fontId="20" fillId="0" borderId="16" xfId="38" applyNumberFormat="1" applyFont="1" applyBorder="1" applyAlignment="1">
      <alignment horizontal="center"/>
    </xf>
    <xf numFmtId="166" fontId="20" fillId="0" borderId="16" xfId="38" applyNumberFormat="1" applyFont="1" applyBorder="1" applyAlignment="1">
      <alignment horizontal="center"/>
    </xf>
    <xf numFmtId="0" fontId="26" fillId="0" borderId="0" xfId="38" applyFont="1" applyBorder="1" applyAlignment="1">
      <alignment horizontal="right"/>
    </xf>
    <xf numFmtId="0" fontId="20" fillId="0" borderId="0" xfId="38" applyNumberFormat="1" applyFont="1" applyBorder="1" applyAlignment="1">
      <alignment horizontal="center"/>
    </xf>
    <xf numFmtId="166" fontId="20" fillId="0" borderId="0" xfId="38" applyNumberFormat="1" applyFont="1" applyBorder="1" applyAlignment="1">
      <alignment horizontal="center"/>
    </xf>
    <xf numFmtId="166" fontId="20" fillId="25" borderId="16" xfId="38" applyNumberFormat="1" applyFont="1" applyFill="1" applyBorder="1" applyAlignment="1">
      <alignment horizontal="center" wrapText="1"/>
    </xf>
    <xf numFmtId="0" fontId="28" fillId="0" borderId="0" xfId="38" applyFont="1"/>
    <xf numFmtId="0" fontId="28" fillId="0" borderId="0" xfId="38" applyFont="1" applyAlignment="1">
      <alignment horizontal="center"/>
    </xf>
    <xf numFmtId="0" fontId="21" fillId="0" borderId="0" xfId="38" applyFont="1"/>
    <xf numFmtId="2" fontId="28" fillId="0" borderId="0" xfId="38" applyNumberFormat="1" applyFont="1" applyAlignment="1">
      <alignment horizontal="center"/>
    </xf>
    <xf numFmtId="0" fontId="28" fillId="0" borderId="0" xfId="38" applyFont="1" applyAlignment="1">
      <alignment horizontal="left"/>
    </xf>
    <xf numFmtId="0" fontId="24" fillId="0" borderId="0" xfId="38" applyFont="1" applyAlignment="1">
      <alignment horizontal="left"/>
    </xf>
    <xf numFmtId="2" fontId="24" fillId="0" borderId="0" xfId="38" applyNumberFormat="1" applyFont="1" applyAlignment="1">
      <alignment horizontal="center"/>
    </xf>
    <xf numFmtId="2" fontId="20" fillId="0" borderId="0" xfId="38" applyNumberFormat="1" applyFont="1" applyAlignment="1">
      <alignment horizontal="center"/>
    </xf>
    <xf numFmtId="166" fontId="28" fillId="0" borderId="0" xfId="38" applyNumberFormat="1" applyFont="1" applyAlignment="1">
      <alignment horizontal="center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5" fillId="0" borderId="13" xfId="0" applyFont="1" applyBorder="1"/>
    <xf numFmtId="0" fontId="31" fillId="0" borderId="13" xfId="0" applyFont="1" applyBorder="1"/>
    <xf numFmtId="0" fontId="31" fillId="24" borderId="10" xfId="0" applyFont="1" applyFill="1" applyBorder="1" applyAlignment="1">
      <alignment horizontal="center"/>
    </xf>
    <xf numFmtId="164" fontId="31" fillId="0" borderId="10" xfId="28" applyNumberFormat="1" applyFont="1" applyBorder="1"/>
    <xf numFmtId="0" fontId="31" fillId="0" borderId="0" xfId="0" applyFont="1" applyAlignment="1">
      <alignment horizontal="right"/>
    </xf>
    <xf numFmtId="164" fontId="31" fillId="0" borderId="0" xfId="28" applyNumberFormat="1" applyFont="1" applyBorder="1"/>
    <xf numFmtId="164" fontId="31" fillId="0" borderId="0" xfId="28" applyNumberFormat="1" applyFont="1" applyBorder="1" applyAlignment="1"/>
    <xf numFmtId="164" fontId="31" fillId="0" borderId="0" xfId="0" applyNumberFormat="1" applyFont="1" applyBorder="1" applyAlignment="1"/>
    <xf numFmtId="9" fontId="31" fillId="0" borderId="0" xfId="0" applyNumberFormat="1" applyFont="1"/>
    <xf numFmtId="0" fontId="31" fillId="0" borderId="0" xfId="0" applyFont="1" applyAlignment="1"/>
    <xf numFmtId="164" fontId="31" fillId="0" borderId="0" xfId="0" applyNumberFormat="1" applyFont="1"/>
    <xf numFmtId="0" fontId="31" fillId="0" borderId="0" xfId="0" applyFont="1" applyAlignment="1">
      <alignment horizontal="left"/>
    </xf>
    <xf numFmtId="164" fontId="36" fillId="0" borderId="0" xfId="28" applyNumberFormat="1" applyFont="1"/>
    <xf numFmtId="0" fontId="40" fillId="0" borderId="0" xfId="0" applyFont="1"/>
    <xf numFmtId="164" fontId="30" fillId="0" borderId="0" xfId="0" applyNumberFormat="1" applyFont="1"/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68" fontId="3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indent="4"/>
    </xf>
    <xf numFmtId="0" fontId="33" fillId="0" borderId="0" xfId="0" applyFont="1"/>
    <xf numFmtId="0" fontId="30" fillId="0" borderId="0" xfId="0" applyFont="1" applyAlignment="1"/>
    <xf numFmtId="166" fontId="30" fillId="0" borderId="0" xfId="0" applyNumberFormat="1" applyFont="1"/>
    <xf numFmtId="0" fontId="31" fillId="0" borderId="11" xfId="0" applyFont="1" applyBorder="1" applyAlignment="1">
      <alignment vertical="center" wrapText="1"/>
    </xf>
    <xf numFmtId="0" fontId="37" fillId="0" borderId="0" xfId="0" applyFont="1"/>
    <xf numFmtId="166" fontId="20" fillId="0" borderId="0" xfId="38" applyNumberFormat="1" applyFont="1"/>
    <xf numFmtId="166" fontId="24" fillId="0" borderId="0" xfId="38" applyNumberFormat="1" applyFont="1"/>
    <xf numFmtId="166" fontId="20" fillId="0" borderId="14" xfId="38" applyNumberFormat="1" applyFont="1" applyBorder="1" applyAlignment="1">
      <alignment horizontal="center" wrapText="1"/>
    </xf>
    <xf numFmtId="166" fontId="20" fillId="0" borderId="15" xfId="38" applyNumberFormat="1" applyFont="1" applyBorder="1" applyAlignment="1">
      <alignment horizontal="center" wrapText="1"/>
    </xf>
    <xf numFmtId="166" fontId="23" fillId="25" borderId="0" xfId="38" applyNumberFormat="1" applyFont="1" applyFill="1" applyBorder="1" applyAlignment="1">
      <alignment horizontal="center"/>
    </xf>
    <xf numFmtId="166" fontId="26" fillId="0" borderId="0" xfId="38" applyNumberFormat="1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4" fillId="0" borderId="0" xfId="38" applyFont="1" applyAlignment="1">
      <alignment horizontal="right"/>
    </xf>
    <xf numFmtId="166" fontId="31" fillId="0" borderId="0" xfId="0" applyNumberFormat="1" applyFont="1"/>
    <xf numFmtId="0" fontId="31" fillId="0" borderId="17" xfId="0" applyFont="1" applyBorder="1" applyAlignment="1">
      <alignment vertical="center"/>
    </xf>
    <xf numFmtId="1" fontId="31" fillId="0" borderId="17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1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164" fontId="40" fillId="0" borderId="11" xfId="28" applyNumberFormat="1" applyFont="1" applyBorder="1" applyAlignment="1">
      <alignment vertical="center"/>
    </xf>
    <xf numFmtId="0" fontId="46" fillId="0" borderId="0" xfId="0" applyFont="1"/>
    <xf numFmtId="0" fontId="46" fillId="0" borderId="0" xfId="0" applyNumberFormat="1" applyFont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2" fillId="0" borderId="11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30" fillId="0" borderId="0" xfId="0" applyFont="1" applyAlignment="1">
      <alignment horizontal="center" vertical="center"/>
    </xf>
    <xf numFmtId="0" fontId="20" fillId="0" borderId="0" xfId="38" applyFont="1" applyAlignment="1">
      <alignment horizontal="center"/>
    </xf>
    <xf numFmtId="0" fontId="24" fillId="0" borderId="0" xfId="38" applyFont="1" applyAlignment="1">
      <alignment horizontal="right"/>
    </xf>
    <xf numFmtId="0" fontId="32" fillId="0" borderId="2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17" xfId="0" applyNumberFormat="1" applyFont="1" applyBorder="1" applyAlignment="1">
      <alignment horizontal="center" vertical="center"/>
    </xf>
    <xf numFmtId="7" fontId="45" fillId="0" borderId="20" xfId="0" applyNumberFormat="1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40" fillId="0" borderId="0" xfId="0" applyFont="1" applyAlignment="1">
      <alignment vertical="center"/>
    </xf>
    <xf numFmtId="166" fontId="37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2" fillId="0" borderId="11" xfId="0" applyNumberFormat="1" applyFont="1" applyBorder="1" applyAlignment="1">
      <alignment horizontal="center" vertical="center"/>
    </xf>
    <xf numFmtId="7" fontId="45" fillId="0" borderId="12" xfId="0" applyNumberFormat="1" applyFont="1" applyBorder="1" applyAlignment="1">
      <alignment vertical="center"/>
    </xf>
    <xf numFmtId="0" fontId="31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167" fontId="20" fillId="0" borderId="0" xfId="38" applyNumberFormat="1" applyFont="1" applyAlignment="1">
      <alignment horizontal="center"/>
    </xf>
    <xf numFmtId="167" fontId="28" fillId="0" borderId="0" xfId="38" applyNumberFormat="1" applyFont="1" applyAlignment="1">
      <alignment horizontal="center"/>
    </xf>
    <xf numFmtId="0" fontId="21" fillId="0" borderId="0" xfId="38" applyNumberFormat="1" applyFont="1"/>
    <xf numFmtId="0" fontId="28" fillId="0" borderId="0" xfId="38" applyNumberFormat="1" applyFont="1"/>
    <xf numFmtId="0" fontId="20" fillId="0" borderId="0" xfId="38" applyNumberFormat="1" applyFont="1"/>
    <xf numFmtId="2" fontId="31" fillId="0" borderId="17" xfId="0" applyNumberFormat="1" applyFont="1" applyBorder="1" applyAlignment="1">
      <alignment horizontal="center" vertical="center"/>
    </xf>
    <xf numFmtId="0" fontId="32" fillId="0" borderId="11" xfId="0" quotePrefix="1" applyFont="1" applyBorder="1" applyAlignment="1">
      <alignment horizontal="right" vertical="center"/>
    </xf>
    <xf numFmtId="2" fontId="31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65" fontId="31" fillId="0" borderId="11" xfId="28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167" fontId="31" fillId="0" borderId="17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67" fontId="31" fillId="0" borderId="11" xfId="0" applyNumberFormat="1" applyFont="1" applyBorder="1" applyAlignment="1">
      <alignment horizontal="center" vertical="center"/>
    </xf>
    <xf numFmtId="167" fontId="32" fillId="0" borderId="11" xfId="0" applyNumberFormat="1" applyFont="1" applyBorder="1" applyAlignment="1">
      <alignment horizontal="center" vertical="center"/>
    </xf>
    <xf numFmtId="0" fontId="32" fillId="0" borderId="17" xfId="0" quotePrefix="1" applyFont="1" applyBorder="1" applyAlignment="1">
      <alignment vertical="center"/>
    </xf>
    <xf numFmtId="0" fontId="32" fillId="0" borderId="11" xfId="0" quotePrefix="1" applyFont="1" applyBorder="1" applyAlignment="1">
      <alignment vertical="center"/>
    </xf>
    <xf numFmtId="167" fontId="39" fillId="0" borderId="11" xfId="0" applyNumberFormat="1" applyFont="1" applyBorder="1" applyAlignment="1">
      <alignment horizontal="center" vertical="center"/>
    </xf>
    <xf numFmtId="166" fontId="45" fillId="0" borderId="12" xfId="0" applyNumberFormat="1" applyFont="1" applyBorder="1" applyAlignment="1">
      <alignment vertical="center"/>
    </xf>
    <xf numFmtId="2" fontId="32" fillId="0" borderId="11" xfId="0" applyNumberFormat="1" applyFont="1" applyBorder="1" applyAlignment="1">
      <alignment horizontal="center" vertical="center"/>
    </xf>
    <xf numFmtId="165" fontId="45" fillId="0" borderId="12" xfId="0" applyNumberFormat="1" applyFont="1" applyBorder="1" applyAlignment="1">
      <alignment vertical="center"/>
    </xf>
    <xf numFmtId="2" fontId="38" fillId="0" borderId="11" xfId="0" applyNumberFormat="1" applyFont="1" applyBorder="1" applyAlignment="1">
      <alignment horizontal="center" vertical="center"/>
    </xf>
    <xf numFmtId="2" fontId="40" fillId="0" borderId="11" xfId="28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28" fillId="0" borderId="0" xfId="38" applyNumberFormat="1" applyFont="1" applyAlignment="1">
      <alignment horizontal="left"/>
    </xf>
    <xf numFmtId="0" fontId="20" fillId="0" borderId="0" xfId="38" applyFont="1" applyAlignment="1">
      <alignment horizontal="center"/>
    </xf>
    <xf numFmtId="0" fontId="24" fillId="0" borderId="0" xfId="38" applyFont="1" applyAlignment="1">
      <alignment horizontal="right"/>
    </xf>
    <xf numFmtId="0" fontId="24" fillId="0" borderId="0" xfId="38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0" xfId="38" applyFont="1" applyAlignment="1">
      <alignment horizontal="center"/>
    </xf>
    <xf numFmtId="166" fontId="23" fillId="26" borderId="28" xfId="38" applyNumberFormat="1" applyFont="1" applyFill="1" applyBorder="1" applyAlignment="1">
      <alignment horizontal="center" vertical="center"/>
    </xf>
    <xf numFmtId="166" fontId="23" fillId="26" borderId="32" xfId="38" applyNumberFormat="1" applyFont="1" applyFill="1" applyBorder="1" applyAlignment="1">
      <alignment horizontal="center" vertical="center"/>
    </xf>
    <xf numFmtId="166" fontId="23" fillId="26" borderId="30" xfId="38" applyNumberFormat="1" applyFont="1" applyFill="1" applyBorder="1" applyAlignment="1">
      <alignment horizontal="center" vertical="center"/>
    </xf>
    <xf numFmtId="0" fontId="24" fillId="0" borderId="0" xfId="38" applyFont="1" applyFill="1" applyAlignment="1">
      <alignment horizontal="center"/>
    </xf>
    <xf numFmtId="165" fontId="23" fillId="26" borderId="28" xfId="38" applyNumberFormat="1" applyFont="1" applyFill="1" applyBorder="1" applyAlignment="1">
      <alignment horizontal="center" vertical="center"/>
    </xf>
    <xf numFmtId="165" fontId="23" fillId="26" borderId="30" xfId="38" applyNumberFormat="1" applyFont="1" applyFill="1" applyBorder="1" applyAlignment="1">
      <alignment horizontal="center" vertical="center"/>
    </xf>
    <xf numFmtId="165" fontId="23" fillId="26" borderId="32" xfId="38" applyNumberFormat="1" applyFont="1" applyFill="1" applyBorder="1" applyAlignment="1">
      <alignment horizontal="center" vertical="center"/>
    </xf>
    <xf numFmtId="166" fontId="23" fillId="0" borderId="28" xfId="38" applyNumberFormat="1" applyFont="1" applyFill="1" applyBorder="1" applyAlignment="1">
      <alignment horizontal="center" vertical="center"/>
    </xf>
    <xf numFmtId="165" fontId="23" fillId="0" borderId="28" xfId="38" applyNumberFormat="1" applyFont="1" applyFill="1" applyBorder="1" applyAlignment="1">
      <alignment horizontal="center" vertical="center"/>
    </xf>
    <xf numFmtId="166" fontId="23" fillId="0" borderId="30" xfId="38" applyNumberFormat="1" applyFont="1" applyFill="1" applyBorder="1" applyAlignment="1">
      <alignment horizontal="center" vertical="center"/>
    </xf>
    <xf numFmtId="165" fontId="23" fillId="0" borderId="30" xfId="38" applyNumberFormat="1" applyFont="1" applyFill="1" applyBorder="1" applyAlignment="1">
      <alignment horizontal="center" vertical="center"/>
    </xf>
    <xf numFmtId="166" fontId="23" fillId="0" borderId="32" xfId="38" applyNumberFormat="1" applyFont="1" applyFill="1" applyBorder="1" applyAlignment="1">
      <alignment horizontal="center" vertical="center"/>
    </xf>
    <xf numFmtId="165" fontId="23" fillId="0" borderId="32" xfId="38" applyNumberFormat="1" applyFont="1" applyFill="1" applyBorder="1" applyAlignment="1">
      <alignment horizontal="center" vertical="center"/>
    </xf>
    <xf numFmtId="166" fontId="23" fillId="26" borderId="49" xfId="38" applyNumberFormat="1" applyFont="1" applyFill="1" applyBorder="1" applyAlignment="1">
      <alignment horizontal="center" vertical="center"/>
    </xf>
    <xf numFmtId="165" fontId="23" fillId="26" borderId="49" xfId="38" applyNumberFormat="1" applyFont="1" applyFill="1" applyBorder="1" applyAlignment="1">
      <alignment horizontal="center" vertical="center"/>
    </xf>
    <xf numFmtId="166" fontId="23" fillId="26" borderId="51" xfId="38" applyNumberFormat="1" applyFont="1" applyFill="1" applyBorder="1" applyAlignment="1">
      <alignment horizontal="center" vertical="center"/>
    </xf>
    <xf numFmtId="165" fontId="23" fillId="26" borderId="51" xfId="38" applyNumberFormat="1" applyFont="1" applyFill="1" applyBorder="1" applyAlignment="1">
      <alignment horizontal="center" vertical="center"/>
    </xf>
    <xf numFmtId="0" fontId="23" fillId="26" borderId="53" xfId="38" applyFont="1" applyFill="1" applyBorder="1" applyAlignment="1">
      <alignment horizontal="center" vertical="center"/>
    </xf>
    <xf numFmtId="0" fontId="23" fillId="26" borderId="54" xfId="38" applyFont="1" applyFill="1" applyBorder="1" applyAlignment="1">
      <alignment horizontal="center" vertical="center"/>
    </xf>
    <xf numFmtId="0" fontId="23" fillId="26" borderId="55" xfId="38" applyFont="1" applyFill="1" applyBorder="1" applyAlignment="1">
      <alignment horizontal="center" vertical="center"/>
    </xf>
    <xf numFmtId="0" fontId="23" fillId="0" borderId="53" xfId="38" applyFont="1" applyFill="1" applyBorder="1" applyAlignment="1">
      <alignment horizontal="center" vertical="center"/>
    </xf>
    <xf numFmtId="0" fontId="23" fillId="0" borderId="54" xfId="38" applyFont="1" applyFill="1" applyBorder="1" applyAlignment="1">
      <alignment horizontal="center" vertical="center"/>
    </xf>
    <xf numFmtId="0" fontId="23" fillId="0" borderId="55" xfId="38" applyFont="1" applyFill="1" applyBorder="1" applyAlignment="1">
      <alignment horizontal="center" vertical="center"/>
    </xf>
    <xf numFmtId="0" fontId="23" fillId="26" borderId="56" xfId="38" applyFont="1" applyFill="1" applyBorder="1" applyAlignment="1">
      <alignment horizontal="center" vertical="center"/>
    </xf>
    <xf numFmtId="0" fontId="23" fillId="26" borderId="57" xfId="38" applyFont="1" applyFill="1" applyBorder="1" applyAlignment="1">
      <alignment horizontal="center" vertical="center"/>
    </xf>
    <xf numFmtId="0" fontId="37" fillId="0" borderId="0" xfId="44" applyFont="1"/>
    <xf numFmtId="0" fontId="51" fillId="0" borderId="0" xfId="44" applyFont="1"/>
    <xf numFmtId="0" fontId="30" fillId="0" borderId="0" xfId="44" applyFont="1"/>
    <xf numFmtId="0" fontId="52" fillId="0" borderId="0" xfId="44" applyFont="1"/>
    <xf numFmtId="166" fontId="52" fillId="0" borderId="0" xfId="44" applyNumberFormat="1" applyFont="1" applyAlignment="1">
      <alignment horizontal="left"/>
    </xf>
    <xf numFmtId="0" fontId="52" fillId="0" borderId="0" xfId="44" applyNumberFormat="1" applyFont="1" applyAlignment="1">
      <alignment horizontal="right"/>
    </xf>
    <xf numFmtId="0" fontId="35" fillId="0" borderId="13" xfId="44" applyFont="1" applyBorder="1"/>
    <xf numFmtId="0" fontId="31" fillId="0" borderId="13" xfId="44" applyFont="1" applyBorder="1"/>
    <xf numFmtId="0" fontId="31" fillId="0" borderId="0" xfId="44" applyFont="1"/>
    <xf numFmtId="166" fontId="52" fillId="0" borderId="0" xfId="44" applyNumberFormat="1" applyFont="1"/>
    <xf numFmtId="0" fontId="31" fillId="24" borderId="10" xfId="44" applyFont="1" applyFill="1" applyBorder="1" applyAlignment="1">
      <alignment horizontal="center"/>
    </xf>
    <xf numFmtId="0" fontId="52" fillId="0" borderId="0" xfId="44" applyFont="1" applyAlignment="1">
      <alignment horizontal="right"/>
    </xf>
    <xf numFmtId="0" fontId="31" fillId="0" borderId="0" xfId="44" applyFont="1" applyAlignment="1">
      <alignment horizontal="center"/>
    </xf>
    <xf numFmtId="0" fontId="31" fillId="0" borderId="0" xfId="44" applyFont="1" applyAlignment="1">
      <alignment horizontal="right"/>
    </xf>
    <xf numFmtId="164" fontId="31" fillId="0" borderId="0" xfId="44" applyNumberFormat="1" applyFont="1" applyBorder="1" applyAlignment="1"/>
    <xf numFmtId="9" fontId="31" fillId="0" borderId="0" xfId="44" applyNumberFormat="1" applyFont="1"/>
    <xf numFmtId="0" fontId="31" fillId="0" borderId="0" xfId="44" applyFont="1" applyAlignment="1"/>
    <xf numFmtId="164" fontId="31" fillId="0" borderId="0" xfId="44" applyNumberFormat="1" applyFont="1"/>
    <xf numFmtId="0" fontId="31" fillId="0" borderId="0" xfId="44" applyFont="1" applyAlignment="1">
      <alignment horizontal="left"/>
    </xf>
    <xf numFmtId="0" fontId="32" fillId="0" borderId="11" xfId="44" applyFont="1" applyBorder="1" applyAlignment="1">
      <alignment horizontal="center"/>
    </xf>
    <xf numFmtId="0" fontId="32" fillId="0" borderId="11" xfId="44" applyFont="1" applyBorder="1" applyAlignment="1">
      <alignment horizontal="center" wrapText="1"/>
    </xf>
    <xf numFmtId="0" fontId="32" fillId="0" borderId="0" xfId="44" applyFont="1" applyBorder="1" applyAlignment="1">
      <alignment horizontal="center"/>
    </xf>
    <xf numFmtId="0" fontId="32" fillId="0" borderId="17" xfId="44" applyFont="1" applyBorder="1" applyAlignment="1">
      <alignment vertical="center"/>
    </xf>
    <xf numFmtId="167" fontId="31" fillId="0" borderId="17" xfId="44" applyNumberFormat="1" applyFont="1" applyBorder="1" applyAlignment="1">
      <alignment horizontal="center" vertical="center"/>
    </xf>
    <xf numFmtId="0" fontId="37" fillId="0" borderId="20" xfId="44" applyFont="1" applyBorder="1" applyAlignment="1">
      <alignment vertical="center"/>
    </xf>
    <xf numFmtId="0" fontId="40" fillId="0" borderId="0" xfId="44" applyFont="1" applyAlignment="1">
      <alignment vertical="center"/>
    </xf>
    <xf numFmtId="0" fontId="32" fillId="0" borderId="11" xfId="44" applyFont="1" applyBorder="1" applyAlignment="1">
      <alignment vertical="center"/>
    </xf>
    <xf numFmtId="0" fontId="31" fillId="0" borderId="11" xfId="44" applyFont="1" applyBorder="1" applyAlignment="1">
      <alignment vertical="center" wrapText="1"/>
    </xf>
    <xf numFmtId="167" fontId="31" fillId="0" borderId="11" xfId="44" applyNumberFormat="1" applyFont="1" applyBorder="1" applyAlignment="1">
      <alignment horizontal="center" vertical="center"/>
    </xf>
    <xf numFmtId="0" fontId="37" fillId="0" borderId="12" xfId="44" applyFont="1" applyBorder="1" applyAlignment="1">
      <alignment vertical="center"/>
    </xf>
    <xf numFmtId="0" fontId="38" fillId="0" borderId="11" xfId="44" applyFont="1" applyBorder="1" applyAlignment="1">
      <alignment vertical="center"/>
    </xf>
    <xf numFmtId="167" fontId="39" fillId="0" borderId="11" xfId="44" applyNumberFormat="1" applyFont="1" applyBorder="1" applyAlignment="1">
      <alignment horizontal="center" vertical="center"/>
    </xf>
    <xf numFmtId="0" fontId="31" fillId="0" borderId="11" xfId="44" applyFont="1" applyBorder="1" applyAlignment="1">
      <alignment vertical="center"/>
    </xf>
    <xf numFmtId="0" fontId="40" fillId="0" borderId="11" xfId="44" applyFont="1" applyBorder="1" applyAlignment="1">
      <alignment vertical="center"/>
    </xf>
    <xf numFmtId="166" fontId="40" fillId="0" borderId="11" xfId="28" applyNumberFormat="1" applyFont="1" applyBorder="1" applyAlignment="1">
      <alignment vertical="center"/>
    </xf>
    <xf numFmtId="0" fontId="37" fillId="0" borderId="11" xfId="44" applyFont="1" applyBorder="1" applyAlignment="1">
      <alignment vertical="center"/>
    </xf>
    <xf numFmtId="0" fontId="30" fillId="0" borderId="0" xfId="44" applyFont="1" applyFill="1"/>
    <xf numFmtId="164" fontId="30" fillId="0" borderId="0" xfId="44" applyNumberFormat="1" applyFont="1"/>
    <xf numFmtId="0" fontId="30" fillId="0" borderId="0" xfId="44" applyFont="1" applyAlignment="1">
      <alignment horizontal="center" vertical="center"/>
    </xf>
    <xf numFmtId="0" fontId="32" fillId="0" borderId="17" xfId="44" quotePrefix="1" applyFont="1" applyBorder="1" applyAlignment="1">
      <alignment horizontal="center" vertical="center"/>
    </xf>
    <xf numFmtId="0" fontId="31" fillId="0" borderId="17" xfId="44" applyFont="1" applyBorder="1" applyAlignment="1">
      <alignment vertical="center"/>
    </xf>
    <xf numFmtId="0" fontId="32" fillId="0" borderId="11" xfId="44" quotePrefix="1" applyFont="1" applyBorder="1" applyAlignment="1">
      <alignment horizontal="center" vertical="center"/>
    </xf>
    <xf numFmtId="2" fontId="31" fillId="0" borderId="11" xfId="44" applyNumberFormat="1" applyFont="1" applyBorder="1" applyAlignment="1">
      <alignment horizontal="center" vertical="center"/>
    </xf>
    <xf numFmtId="0" fontId="31" fillId="0" borderId="11" xfId="44" applyFont="1" applyBorder="1" applyAlignment="1">
      <alignment horizontal="center" vertical="center"/>
    </xf>
    <xf numFmtId="166" fontId="30" fillId="0" borderId="0" xfId="44" applyNumberFormat="1" applyFont="1"/>
    <xf numFmtId="164" fontId="30" fillId="0" borderId="0" xfId="44" applyNumberFormat="1" applyFont="1" applyAlignment="1">
      <alignment horizontal="center" vertical="center"/>
    </xf>
    <xf numFmtId="166" fontId="30" fillId="0" borderId="0" xfId="44" applyNumberFormat="1" applyFont="1" applyAlignment="1">
      <alignment horizontal="center" vertical="center"/>
    </xf>
    <xf numFmtId="0" fontId="30" fillId="0" borderId="0" xfId="44" applyFont="1" applyAlignment="1"/>
    <xf numFmtId="0" fontId="32" fillId="0" borderId="11" xfId="44" quotePrefix="1" applyFont="1" applyBorder="1" applyAlignment="1">
      <alignment horizontal="right" vertical="center"/>
    </xf>
    <xf numFmtId="5" fontId="53" fillId="0" borderId="12" xfId="44" applyNumberFormat="1" applyFont="1" applyBorder="1" applyAlignment="1">
      <alignment vertical="center"/>
    </xf>
    <xf numFmtId="0" fontId="31" fillId="0" borderId="11" xfId="44" applyNumberFormat="1" applyFont="1" applyBorder="1" applyAlignment="1">
      <alignment horizontal="center" vertical="center"/>
    </xf>
    <xf numFmtId="7" fontId="53" fillId="0" borderId="12" xfId="44" applyNumberFormat="1" applyFont="1" applyBorder="1" applyAlignment="1">
      <alignment vertical="center"/>
    </xf>
    <xf numFmtId="7" fontId="47" fillId="0" borderId="12" xfId="44" applyNumberFormat="1" applyFont="1" applyBorder="1" applyAlignment="1">
      <alignment vertical="center"/>
    </xf>
    <xf numFmtId="7" fontId="39" fillId="0" borderId="12" xfId="44" applyNumberFormat="1" applyFont="1" applyBorder="1" applyAlignment="1">
      <alignment vertical="center"/>
    </xf>
    <xf numFmtId="165" fontId="31" fillId="0" borderId="17" xfId="28" applyNumberFormat="1" applyFont="1" applyBorder="1" applyAlignment="1">
      <alignment horizontal="center" vertical="center"/>
    </xf>
    <xf numFmtId="165" fontId="31" fillId="0" borderId="11" xfId="28" applyNumberFormat="1" applyFont="1" applyBorder="1" applyAlignment="1">
      <alignment vertical="center"/>
    </xf>
    <xf numFmtId="165" fontId="40" fillId="0" borderId="11" xfId="28" applyNumberFormat="1" applyFont="1" applyBorder="1" applyAlignment="1">
      <alignment vertical="center"/>
    </xf>
    <xf numFmtId="165" fontId="32" fillId="0" borderId="11" xfId="28" applyNumberFormat="1" applyFont="1" applyBorder="1" applyAlignment="1">
      <alignment horizontal="center" vertical="center"/>
    </xf>
    <xf numFmtId="165" fontId="37" fillId="0" borderId="11" xfId="28" applyNumberFormat="1" applyFont="1" applyBorder="1" applyAlignment="1">
      <alignment horizontal="center" vertical="center"/>
    </xf>
    <xf numFmtId="166" fontId="37" fillId="0" borderId="0" xfId="44" applyNumberFormat="1" applyFont="1" applyBorder="1" applyAlignment="1">
      <alignment horizontal="right"/>
    </xf>
    <xf numFmtId="0" fontId="37" fillId="0" borderId="0" xfId="0" applyFont="1" applyBorder="1"/>
    <xf numFmtId="0" fontId="47" fillId="0" borderId="0" xfId="0" applyFont="1" applyBorder="1"/>
    <xf numFmtId="165" fontId="24" fillId="0" borderId="0" xfId="38" applyNumberFormat="1" applyFont="1" applyAlignment="1">
      <alignment horizontal="center"/>
    </xf>
    <xf numFmtId="165" fontId="28" fillId="0" borderId="0" xfId="38" applyNumberFormat="1" applyFont="1" applyAlignment="1">
      <alignment horizontal="center"/>
    </xf>
    <xf numFmtId="165" fontId="24" fillId="0" borderId="0" xfId="38" applyNumberFormat="1" applyFont="1" applyAlignment="1">
      <alignment horizontal="right"/>
    </xf>
    <xf numFmtId="4" fontId="28" fillId="0" borderId="0" xfId="38" applyNumberFormat="1" applyFont="1" applyAlignment="1">
      <alignment horizontal="center"/>
    </xf>
    <xf numFmtId="4" fontId="28" fillId="0" borderId="0" xfId="38" applyNumberFormat="1" applyFont="1"/>
    <xf numFmtId="165" fontId="20" fillId="0" borderId="0" xfId="38" applyNumberFormat="1" applyFont="1" applyAlignment="1">
      <alignment horizontal="center"/>
    </xf>
    <xf numFmtId="0" fontId="28" fillId="0" borderId="0" xfId="38" applyNumberFormat="1" applyFont="1" applyAlignment="1">
      <alignment horizontal="right"/>
    </xf>
    <xf numFmtId="0" fontId="54" fillId="0" borderId="0" xfId="38" applyFont="1" applyAlignment="1"/>
    <xf numFmtId="43" fontId="30" fillId="0" borderId="0" xfId="44" applyNumberFormat="1" applyFont="1"/>
    <xf numFmtId="43" fontId="40" fillId="0" borderId="0" xfId="44" applyNumberFormat="1" applyFont="1" applyAlignment="1">
      <alignment vertical="center"/>
    </xf>
    <xf numFmtId="43" fontId="30" fillId="0" borderId="0" xfId="0" applyNumberFormat="1" applyFont="1"/>
    <xf numFmtId="43" fontId="40" fillId="0" borderId="0" xfId="0" applyNumberFormat="1" applyFont="1" applyAlignment="1">
      <alignment vertical="center"/>
    </xf>
    <xf numFmtId="43" fontId="30" fillId="0" borderId="0" xfId="44" applyNumberFormat="1" applyFont="1" applyAlignment="1"/>
    <xf numFmtId="43" fontId="36" fillId="0" borderId="0" xfId="28" applyNumberFormat="1" applyFont="1" applyAlignment="1"/>
    <xf numFmtId="43" fontId="32" fillId="0" borderId="0" xfId="44" applyNumberFormat="1" applyFont="1" applyBorder="1" applyAlignment="1"/>
    <xf numFmtId="43" fontId="30" fillId="0" borderId="0" xfId="44" applyNumberFormat="1" applyFont="1" applyAlignment="1">
      <alignment vertical="center"/>
    </xf>
    <xf numFmtId="43" fontId="30" fillId="0" borderId="0" xfId="0" applyNumberFormat="1" applyFont="1" applyAlignment="1"/>
    <xf numFmtId="43" fontId="32" fillId="0" borderId="0" xfId="0" applyNumberFormat="1" applyFont="1" applyBorder="1" applyAlignment="1"/>
    <xf numFmtId="43" fontId="40" fillId="0" borderId="0" xfId="0" applyNumberFormat="1" applyFont="1" applyAlignment="1"/>
    <xf numFmtId="43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horizontal="center"/>
    </xf>
    <xf numFmtId="165" fontId="23" fillId="25" borderId="16" xfId="38" applyNumberFormat="1" applyFont="1" applyFill="1" applyBorder="1" applyAlignment="1">
      <alignment horizontal="center"/>
    </xf>
    <xf numFmtId="165" fontId="31" fillId="0" borderId="0" xfId="44" applyNumberFormat="1" applyFont="1" applyAlignment="1">
      <alignment horizontal="center" vertical="center"/>
    </xf>
    <xf numFmtId="165" fontId="52" fillId="0" borderId="0" xfId="44" applyNumberFormat="1" applyFont="1" applyAlignment="1">
      <alignment horizontal="center" vertical="center"/>
    </xf>
    <xf numFmtId="165" fontId="30" fillId="0" borderId="0" xfId="44" applyNumberFormat="1" applyFont="1" applyAlignment="1">
      <alignment horizontal="center" vertical="center"/>
    </xf>
    <xf numFmtId="165" fontId="30" fillId="0" borderId="0" xfId="44" applyNumberFormat="1" applyFont="1" applyAlignment="1">
      <alignment horizontal="center"/>
    </xf>
    <xf numFmtId="165" fontId="51" fillId="0" borderId="0" xfId="44" applyNumberFormat="1" applyFont="1" applyAlignment="1">
      <alignment horizontal="center" vertical="center"/>
    </xf>
    <xf numFmtId="165" fontId="36" fillId="0" borderId="0" xfId="28" applyNumberFormat="1" applyFont="1" applyAlignment="1">
      <alignment horizontal="center" vertical="center"/>
    </xf>
    <xf numFmtId="165" fontId="32" fillId="0" borderId="11" xfId="44" applyNumberFormat="1" applyFont="1" applyBorder="1" applyAlignment="1">
      <alignment horizontal="center" vertical="center" wrapText="1"/>
    </xf>
    <xf numFmtId="165" fontId="32" fillId="0" borderId="11" xfId="44" applyNumberFormat="1" applyFont="1" applyBorder="1" applyAlignment="1">
      <alignment horizontal="center" vertical="center"/>
    </xf>
    <xf numFmtId="165" fontId="32" fillId="0" borderId="0" xfId="44" applyNumberFormat="1" applyFont="1" applyBorder="1" applyAlignment="1">
      <alignment horizontal="center" vertical="center"/>
    </xf>
    <xf numFmtId="165" fontId="37" fillId="0" borderId="20" xfId="44" applyNumberFormat="1" applyFont="1" applyBorder="1" applyAlignment="1">
      <alignment horizontal="center" vertical="center"/>
    </xf>
    <xf numFmtId="165" fontId="31" fillId="0" borderId="17" xfId="44" applyNumberFormat="1" applyFont="1" applyBorder="1" applyAlignment="1">
      <alignment horizontal="center" vertical="center"/>
    </xf>
    <xf numFmtId="165" fontId="40" fillId="0" borderId="0" xfId="44" applyNumberFormat="1" applyFont="1" applyAlignment="1">
      <alignment horizontal="center" vertical="center"/>
    </xf>
    <xf numFmtId="165" fontId="37" fillId="0" borderId="12" xfId="44" applyNumberFormat="1" applyFont="1" applyBorder="1" applyAlignment="1">
      <alignment horizontal="center" vertical="center"/>
    </xf>
    <xf numFmtId="165" fontId="31" fillId="0" borderId="11" xfId="44" applyNumberFormat="1" applyFont="1" applyBorder="1" applyAlignment="1">
      <alignment horizontal="center" vertical="center"/>
    </xf>
    <xf numFmtId="165" fontId="37" fillId="0" borderId="11" xfId="44" applyNumberFormat="1" applyFont="1" applyBorder="1" applyAlignment="1">
      <alignment horizontal="center" vertical="center"/>
    </xf>
    <xf numFmtId="165" fontId="38" fillId="0" borderId="11" xfId="44" applyNumberFormat="1" applyFont="1" applyBorder="1" applyAlignment="1">
      <alignment horizontal="center" vertical="center"/>
    </xf>
    <xf numFmtId="165" fontId="39" fillId="0" borderId="11" xfId="44" applyNumberFormat="1" applyFont="1" applyBorder="1" applyAlignment="1">
      <alignment horizontal="center" vertical="center"/>
    </xf>
    <xf numFmtId="165" fontId="41" fillId="0" borderId="0" xfId="44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 horizontal="center"/>
    </xf>
    <xf numFmtId="165" fontId="32" fillId="0" borderId="11" xfId="0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165" fontId="37" fillId="0" borderId="20" xfId="0" applyNumberFormat="1" applyFont="1" applyBorder="1" applyAlignment="1">
      <alignment horizontal="center" vertical="center"/>
    </xf>
    <xf numFmtId="165" fontId="31" fillId="0" borderId="17" xfId="0" applyNumberFormat="1" applyFont="1" applyBorder="1" applyAlignment="1">
      <alignment horizontal="center" vertical="center"/>
    </xf>
    <xf numFmtId="165" fontId="32" fillId="0" borderId="20" xfId="0" applyNumberFormat="1" applyFont="1" applyBorder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37" fillId="0" borderId="12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165" fontId="32" fillId="0" borderId="12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165" fontId="43" fillId="0" borderId="0" xfId="28" applyNumberFormat="1" applyFont="1" applyAlignment="1">
      <alignment horizontal="center" vertical="center"/>
    </xf>
    <xf numFmtId="165" fontId="24" fillId="0" borderId="0" xfId="38" applyNumberFormat="1" applyFont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 wrapText="1"/>
    </xf>
    <xf numFmtId="165" fontId="38" fillId="0" borderId="11" xfId="28" applyNumberFormat="1" applyFont="1" applyBorder="1" applyAlignment="1">
      <alignment horizontal="center" vertical="center"/>
    </xf>
    <xf numFmtId="165" fontId="38" fillId="0" borderId="11" xfId="0" applyNumberFormat="1" applyFont="1" applyBorder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165" fontId="31" fillId="0" borderId="12" xfId="0" applyNumberFormat="1" applyFont="1" applyBorder="1" applyAlignment="1">
      <alignment horizontal="center" vertical="center"/>
    </xf>
    <xf numFmtId="165" fontId="39" fillId="0" borderId="11" xfId="0" applyNumberFormat="1" applyFont="1" applyBorder="1" applyAlignment="1">
      <alignment horizontal="center" vertical="center"/>
    </xf>
    <xf numFmtId="165" fontId="49" fillId="0" borderId="11" xfId="0" applyNumberFormat="1" applyFont="1" applyBorder="1" applyAlignment="1">
      <alignment horizontal="center" vertical="center"/>
    </xf>
    <xf numFmtId="165" fontId="49" fillId="0" borderId="11" xfId="28" applyNumberFormat="1" applyFont="1" applyBorder="1" applyAlignment="1">
      <alignment horizontal="center" vertical="center"/>
    </xf>
    <xf numFmtId="165" fontId="49" fillId="0" borderId="12" xfId="0" applyNumberFormat="1" applyFont="1" applyBorder="1" applyAlignment="1">
      <alignment horizontal="center" vertical="center"/>
    </xf>
    <xf numFmtId="165" fontId="50" fillId="0" borderId="11" xfId="28" applyNumberFormat="1" applyFont="1" applyBorder="1" applyAlignment="1">
      <alignment horizontal="center" vertical="center"/>
    </xf>
    <xf numFmtId="166" fontId="22" fillId="0" borderId="0" xfId="38" applyNumberFormat="1" applyFont="1" applyAlignment="1"/>
    <xf numFmtId="166" fontId="25" fillId="0" borderId="0" xfId="38" applyNumberFormat="1" applyFont="1" applyAlignment="1"/>
    <xf numFmtId="166" fontId="25" fillId="25" borderId="0" xfId="38" applyNumberFormat="1" applyFont="1" applyFill="1" applyAlignment="1"/>
    <xf numFmtId="0" fontId="37" fillId="0" borderId="0" xfId="44" applyFont="1" applyAlignment="1"/>
    <xf numFmtId="0" fontId="37" fillId="0" borderId="0" xfId="0" applyFont="1" applyAlignment="1"/>
    <xf numFmtId="166" fontId="37" fillId="0" borderId="0" xfId="44" applyNumberFormat="1" applyFont="1"/>
    <xf numFmtId="166" fontId="30" fillId="0" borderId="0" xfId="44" applyNumberFormat="1" applyFont="1" applyAlignment="1">
      <alignment horizontal="center"/>
    </xf>
    <xf numFmtId="166" fontId="36" fillId="0" borderId="0" xfId="28" applyNumberFormat="1" applyFont="1" applyAlignment="1">
      <alignment horizontal="center"/>
    </xf>
    <xf numFmtId="166" fontId="32" fillId="0" borderId="0" xfId="44" applyNumberFormat="1" applyFont="1" applyBorder="1" applyAlignment="1">
      <alignment horizontal="center"/>
    </xf>
    <xf numFmtId="166" fontId="40" fillId="0" borderId="0" xfId="44" applyNumberFormat="1" applyFont="1" applyAlignment="1">
      <alignment horizontal="center" vertical="center"/>
    </xf>
    <xf numFmtId="166" fontId="37" fillId="0" borderId="0" xfId="0" applyNumberFormat="1" applyFont="1"/>
    <xf numFmtId="166" fontId="32" fillId="0" borderId="0" xfId="0" applyNumberFormat="1" applyFont="1" applyBorder="1" applyAlignment="1">
      <alignment horizontal="center"/>
    </xf>
    <xf numFmtId="166" fontId="40" fillId="0" borderId="0" xfId="0" applyNumberFormat="1" applyFont="1" applyAlignment="1">
      <alignment horizontal="center"/>
    </xf>
    <xf numFmtId="166" fontId="40" fillId="0" borderId="0" xfId="0" applyNumberFormat="1" applyFont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32" fillId="0" borderId="17" xfId="44" applyNumberFormat="1" applyFont="1" applyBorder="1" applyAlignment="1">
      <alignment horizontal="center" vertical="center"/>
    </xf>
    <xf numFmtId="0" fontId="32" fillId="0" borderId="11" xfId="44" applyNumberFormat="1" applyFont="1" applyBorder="1" applyAlignment="1">
      <alignment horizontal="center" vertical="center"/>
    </xf>
    <xf numFmtId="0" fontId="32" fillId="0" borderId="11" xfId="0" quotePrefix="1" applyNumberFormat="1" applyFont="1" applyBorder="1" applyAlignment="1">
      <alignment horizontal="center" vertical="center"/>
    </xf>
    <xf numFmtId="0" fontId="23" fillId="26" borderId="64" xfId="38" applyFont="1" applyFill="1" applyBorder="1" applyAlignment="1">
      <alignment horizontal="center" wrapText="1"/>
    </xf>
    <xf numFmtId="0" fontId="23" fillId="26" borderId="58" xfId="38" applyFont="1" applyFill="1" applyBorder="1" applyAlignment="1">
      <alignment horizontal="center"/>
    </xf>
    <xf numFmtId="166" fontId="23" fillId="26" borderId="22" xfId="38" applyNumberFormat="1" applyFont="1" applyFill="1" applyBorder="1" applyAlignment="1">
      <alignment horizontal="center"/>
    </xf>
    <xf numFmtId="165" fontId="23" fillId="26" borderId="22" xfId="38" applyNumberFormat="1" applyFont="1" applyFill="1" applyBorder="1" applyAlignment="1">
      <alignment horizontal="center"/>
    </xf>
    <xf numFmtId="166" fontId="24" fillId="26" borderId="23" xfId="38" applyNumberFormat="1" applyFont="1" applyFill="1" applyBorder="1" applyAlignment="1">
      <alignment horizontal="center" wrapText="1"/>
    </xf>
    <xf numFmtId="43" fontId="25" fillId="0" borderId="0" xfId="38" applyNumberFormat="1" applyFont="1" applyAlignment="1"/>
    <xf numFmtId="165" fontId="24" fillId="0" borderId="0" xfId="38" applyNumberFormat="1" applyFont="1" applyAlignment="1"/>
    <xf numFmtId="9" fontId="24" fillId="0" borderId="0" xfId="38" applyNumberFormat="1" applyFont="1" applyAlignment="1"/>
    <xf numFmtId="0" fontId="24" fillId="0" borderId="0" xfId="38" applyFont="1" applyAlignment="1"/>
    <xf numFmtId="0" fontId="23" fillId="26" borderId="65" xfId="38" applyFont="1" applyFill="1" applyBorder="1" applyAlignment="1">
      <alignment horizontal="center" wrapText="1"/>
    </xf>
    <xf numFmtId="0" fontId="23" fillId="26" borderId="59" xfId="38" applyFont="1" applyFill="1" applyBorder="1" applyAlignment="1">
      <alignment horizontal="center"/>
    </xf>
    <xf numFmtId="166" fontId="23" fillId="26" borderId="24" xfId="38" applyNumberFormat="1" applyFont="1" applyFill="1" applyBorder="1" applyAlignment="1">
      <alignment horizontal="center"/>
    </xf>
    <xf numFmtId="165" fontId="23" fillId="26" borderId="24" xfId="38" applyNumberFormat="1" applyFont="1" applyFill="1" applyBorder="1" applyAlignment="1">
      <alignment horizontal="center"/>
    </xf>
    <xf numFmtId="166" fontId="24" fillId="26" borderId="25" xfId="38" applyNumberFormat="1" applyFont="1" applyFill="1" applyBorder="1" applyAlignment="1">
      <alignment horizontal="center" wrapText="1"/>
    </xf>
    <xf numFmtId="0" fontId="23" fillId="26" borderId="66" xfId="38" applyFont="1" applyFill="1" applyBorder="1" applyAlignment="1">
      <alignment horizontal="center" wrapText="1"/>
    </xf>
    <xf numFmtId="0" fontId="23" fillId="26" borderId="60" xfId="38" applyFont="1" applyFill="1" applyBorder="1" applyAlignment="1">
      <alignment horizontal="center"/>
    </xf>
    <xf numFmtId="166" fontId="23" fillId="26" borderId="26" xfId="38" applyNumberFormat="1" applyFont="1" applyFill="1" applyBorder="1" applyAlignment="1">
      <alignment horizontal="center"/>
    </xf>
    <xf numFmtId="165" fontId="23" fillId="26" borderId="26" xfId="38" applyNumberFormat="1" applyFont="1" applyFill="1" applyBorder="1" applyAlignment="1">
      <alignment horizontal="center"/>
    </xf>
    <xf numFmtId="166" fontId="24" fillId="26" borderId="27" xfId="38" applyNumberFormat="1" applyFont="1" applyFill="1" applyBorder="1" applyAlignment="1">
      <alignment horizontal="center" wrapText="1"/>
    </xf>
    <xf numFmtId="0" fontId="23" fillId="0" borderId="44" xfId="38" applyFont="1" applyBorder="1" applyAlignment="1">
      <alignment horizontal="center" wrapText="1"/>
    </xf>
    <xf numFmtId="0" fontId="23" fillId="0" borderId="53" xfId="38" applyFont="1" applyBorder="1" applyAlignment="1">
      <alignment horizontal="center"/>
    </xf>
    <xf numFmtId="166" fontId="23" fillId="0" borderId="28" xfId="38" applyNumberFormat="1" applyFont="1" applyBorder="1" applyAlignment="1">
      <alignment horizontal="center"/>
    </xf>
    <xf numFmtId="165" fontId="23" fillId="0" borderId="28" xfId="38" applyNumberFormat="1" applyFont="1" applyBorder="1" applyAlignment="1">
      <alignment horizontal="center"/>
    </xf>
    <xf numFmtId="166" fontId="24" fillId="0" borderId="29" xfId="38" applyNumberFormat="1" applyFont="1" applyBorder="1" applyAlignment="1">
      <alignment horizontal="center" wrapText="1"/>
    </xf>
    <xf numFmtId="0" fontId="23" fillId="0" borderId="67" xfId="38" applyFont="1" applyBorder="1" applyAlignment="1">
      <alignment horizontal="center" wrapText="1"/>
    </xf>
    <xf numFmtId="0" fontId="23" fillId="0" borderId="54" xfId="38" applyFont="1" applyBorder="1" applyAlignment="1">
      <alignment horizontal="center"/>
    </xf>
    <xf numFmtId="166" fontId="23" fillId="0" borderId="30" xfId="38" applyNumberFormat="1" applyFont="1" applyBorder="1" applyAlignment="1">
      <alignment horizontal="center"/>
    </xf>
    <xf numFmtId="165" fontId="23" fillId="0" borderId="30" xfId="38" applyNumberFormat="1" applyFont="1" applyBorder="1" applyAlignment="1">
      <alignment horizontal="center"/>
    </xf>
    <xf numFmtId="166" fontId="24" fillId="0" borderId="31" xfId="38" applyNumberFormat="1" applyFont="1" applyBorder="1" applyAlignment="1">
      <alignment horizontal="center" wrapText="1"/>
    </xf>
    <xf numFmtId="0" fontId="23" fillId="0" borderId="45" xfId="38" applyFont="1" applyBorder="1" applyAlignment="1">
      <alignment horizontal="center" wrapText="1"/>
    </xf>
    <xf numFmtId="0" fontId="23" fillId="0" borderId="61" xfId="38" applyFont="1" applyBorder="1" applyAlignment="1">
      <alignment horizontal="center"/>
    </xf>
    <xf numFmtId="166" fontId="23" fillId="0" borderId="35" xfId="38" applyNumberFormat="1" applyFont="1" applyBorder="1" applyAlignment="1">
      <alignment horizontal="center"/>
    </xf>
    <xf numFmtId="166" fontId="23" fillId="0" borderId="32" xfId="38" applyNumberFormat="1" applyFont="1" applyBorder="1" applyAlignment="1">
      <alignment horizontal="center"/>
    </xf>
    <xf numFmtId="165" fontId="23" fillId="0" borderId="32" xfId="38" applyNumberFormat="1" applyFont="1" applyBorder="1" applyAlignment="1">
      <alignment horizontal="center"/>
    </xf>
    <xf numFmtId="166" fontId="24" fillId="0" borderId="33" xfId="38" applyNumberFormat="1" applyFont="1" applyBorder="1" applyAlignment="1">
      <alignment horizontal="center" wrapText="1"/>
    </xf>
    <xf numFmtId="0" fontId="23" fillId="26" borderId="68" xfId="38" applyFont="1" applyFill="1" applyBorder="1" applyAlignment="1">
      <alignment horizontal="center" wrapText="1"/>
    </xf>
    <xf numFmtId="0" fontId="23" fillId="26" borderId="36" xfId="38" applyFont="1" applyFill="1" applyBorder="1" applyAlignment="1">
      <alignment horizontal="center"/>
    </xf>
    <xf numFmtId="166" fontId="23" fillId="26" borderId="36" xfId="38" applyNumberFormat="1" applyFont="1" applyFill="1" applyBorder="1" applyAlignment="1">
      <alignment horizontal="center"/>
    </xf>
    <xf numFmtId="166" fontId="23" fillId="26" borderId="34" xfId="38" applyNumberFormat="1" applyFont="1" applyFill="1" applyBorder="1" applyAlignment="1">
      <alignment horizontal="center"/>
    </xf>
    <xf numFmtId="165" fontId="23" fillId="26" borderId="34" xfId="38" applyNumberFormat="1" applyFont="1" applyFill="1" applyBorder="1" applyAlignment="1">
      <alignment horizontal="center"/>
    </xf>
    <xf numFmtId="166" fontId="24" fillId="26" borderId="34" xfId="38" applyNumberFormat="1" applyFont="1" applyFill="1" applyBorder="1" applyAlignment="1">
      <alignment horizontal="center" wrapText="1"/>
    </xf>
    <xf numFmtId="0" fontId="23" fillId="26" borderId="67" xfId="38" applyFont="1" applyFill="1" applyBorder="1" applyAlignment="1">
      <alignment horizontal="center" wrapText="1"/>
    </xf>
    <xf numFmtId="0" fontId="23" fillId="26" borderId="54" xfId="38" applyFont="1" applyFill="1" applyBorder="1" applyAlignment="1">
      <alignment horizontal="center"/>
    </xf>
    <xf numFmtId="166" fontId="23" fillId="26" borderId="30" xfId="38" applyNumberFormat="1" applyFont="1" applyFill="1" applyBorder="1" applyAlignment="1">
      <alignment horizontal="center"/>
    </xf>
    <xf numFmtId="165" fontId="23" fillId="26" borderId="30" xfId="38" applyNumberFormat="1" applyFont="1" applyFill="1" applyBorder="1" applyAlignment="1">
      <alignment horizontal="center"/>
    </xf>
    <xf numFmtId="166" fontId="24" fillId="26" borderId="31" xfId="38" applyNumberFormat="1" applyFont="1" applyFill="1" applyBorder="1" applyAlignment="1">
      <alignment horizontal="center" wrapText="1"/>
    </xf>
    <xf numFmtId="0" fontId="23" fillId="26" borderId="45" xfId="38" applyFont="1" applyFill="1" applyBorder="1" applyAlignment="1">
      <alignment horizontal="center" wrapText="1"/>
    </xf>
    <xf numFmtId="0" fontId="23" fillId="26" borderId="61" xfId="38" applyFont="1" applyFill="1" applyBorder="1" applyAlignment="1">
      <alignment horizontal="center"/>
    </xf>
    <xf numFmtId="166" fontId="23" fillId="26" borderId="35" xfId="38" applyNumberFormat="1" applyFont="1" applyFill="1" applyBorder="1" applyAlignment="1">
      <alignment horizontal="center"/>
    </xf>
    <xf numFmtId="166" fontId="23" fillId="26" borderId="32" xfId="38" applyNumberFormat="1" applyFont="1" applyFill="1" applyBorder="1" applyAlignment="1">
      <alignment horizontal="center"/>
    </xf>
    <xf numFmtId="165" fontId="23" fillId="26" borderId="32" xfId="38" applyNumberFormat="1" applyFont="1" applyFill="1" applyBorder="1" applyAlignment="1">
      <alignment horizontal="center"/>
    </xf>
    <xf numFmtId="166" fontId="24" fillId="26" borderId="33" xfId="38" applyNumberFormat="1" applyFont="1" applyFill="1" applyBorder="1" applyAlignment="1">
      <alignment horizontal="center" wrapText="1"/>
    </xf>
    <xf numFmtId="0" fontId="23" fillId="0" borderId="68" xfId="38" applyFont="1" applyBorder="1" applyAlignment="1">
      <alignment horizontal="center" wrapText="1"/>
    </xf>
    <xf numFmtId="0" fontId="23" fillId="0" borderId="69" xfId="38" applyFont="1" applyBorder="1" applyAlignment="1">
      <alignment horizontal="center" wrapText="1"/>
    </xf>
    <xf numFmtId="0" fontId="23" fillId="0" borderId="55" xfId="38" applyFont="1" applyBorder="1" applyAlignment="1">
      <alignment horizontal="center"/>
    </xf>
    <xf numFmtId="0" fontId="23" fillId="26" borderId="53" xfId="38" applyFont="1" applyFill="1" applyBorder="1" applyAlignment="1">
      <alignment horizontal="center"/>
    </xf>
    <xf numFmtId="166" fontId="23" fillId="26" borderId="28" xfId="38" applyNumberFormat="1" applyFont="1" applyFill="1" applyBorder="1" applyAlignment="1">
      <alignment horizontal="center"/>
    </xf>
    <xf numFmtId="165" fontId="23" fillId="26" borderId="28" xfId="38" applyNumberFormat="1" applyFont="1" applyFill="1" applyBorder="1" applyAlignment="1">
      <alignment horizontal="center"/>
    </xf>
    <xf numFmtId="166" fontId="24" fillId="26" borderId="29" xfId="38" applyNumberFormat="1" applyFont="1" applyFill="1" applyBorder="1" applyAlignment="1">
      <alignment horizontal="center" wrapText="1"/>
    </xf>
    <xf numFmtId="0" fontId="23" fillId="26" borderId="69" xfId="38" applyFont="1" applyFill="1" applyBorder="1" applyAlignment="1">
      <alignment horizontal="center" wrapText="1"/>
    </xf>
    <xf numFmtId="0" fontId="23" fillId="26" borderId="55" xfId="38" applyFont="1" applyFill="1" applyBorder="1" applyAlignment="1">
      <alignment horizontal="center"/>
    </xf>
    <xf numFmtId="0" fontId="23" fillId="26" borderId="44" xfId="38" applyFont="1" applyFill="1" applyBorder="1" applyAlignment="1">
      <alignment horizontal="center" wrapText="1"/>
    </xf>
    <xf numFmtId="0" fontId="23" fillId="26" borderId="34" xfId="38" applyFont="1" applyFill="1" applyBorder="1" applyAlignment="1">
      <alignment horizontal="center"/>
    </xf>
    <xf numFmtId="0" fontId="23" fillId="26" borderId="21" xfId="38" applyFont="1" applyFill="1" applyBorder="1" applyAlignment="1">
      <alignment horizontal="center"/>
    </xf>
    <xf numFmtId="166" fontId="23" fillId="26" borderId="21" xfId="38" applyNumberFormat="1" applyFont="1" applyFill="1" applyBorder="1" applyAlignment="1">
      <alignment horizontal="center"/>
    </xf>
    <xf numFmtId="165" fontId="23" fillId="26" borderId="21" xfId="38" applyNumberFormat="1" applyFont="1" applyFill="1" applyBorder="1" applyAlignment="1">
      <alignment horizontal="center"/>
    </xf>
    <xf numFmtId="166" fontId="24" fillId="26" borderId="21" xfId="38" applyNumberFormat="1" applyFont="1" applyFill="1" applyBorder="1" applyAlignment="1">
      <alignment horizontal="center" wrapText="1"/>
    </xf>
    <xf numFmtId="0" fontId="23" fillId="0" borderId="36" xfId="38" applyFont="1" applyBorder="1" applyAlignment="1">
      <alignment horizontal="center"/>
    </xf>
    <xf numFmtId="166" fontId="23" fillId="0" borderId="36" xfId="38" applyNumberFormat="1" applyFont="1" applyBorder="1" applyAlignment="1">
      <alignment horizontal="center"/>
    </xf>
    <xf numFmtId="165" fontId="23" fillId="0" borderId="36" xfId="38" applyNumberFormat="1" applyFont="1" applyBorder="1" applyAlignment="1">
      <alignment horizontal="center"/>
    </xf>
    <xf numFmtId="166" fontId="24" fillId="0" borderId="36" xfId="38" applyNumberFormat="1" applyFont="1" applyBorder="1" applyAlignment="1">
      <alignment horizontal="center" wrapText="1"/>
    </xf>
    <xf numFmtId="0" fontId="23" fillId="0" borderId="70" xfId="38" applyFont="1" applyBorder="1" applyAlignment="1">
      <alignment horizontal="center" wrapText="1"/>
    </xf>
    <xf numFmtId="0" fontId="23" fillId="0" borderId="62" xfId="38" applyFont="1" applyBorder="1" applyAlignment="1">
      <alignment horizontal="center"/>
    </xf>
    <xf numFmtId="166" fontId="23" fillId="0" borderId="39" xfId="38" applyNumberFormat="1" applyFont="1" applyBorder="1" applyAlignment="1">
      <alignment horizontal="center"/>
    </xf>
    <xf numFmtId="165" fontId="23" fillId="0" borderId="39" xfId="38" applyNumberFormat="1" applyFont="1" applyBorder="1" applyAlignment="1">
      <alignment horizontal="center"/>
    </xf>
    <xf numFmtId="166" fontId="24" fillId="0" borderId="40" xfId="38" applyNumberFormat="1" applyFont="1" applyBorder="1" applyAlignment="1">
      <alignment horizontal="center" wrapText="1"/>
    </xf>
    <xf numFmtId="0" fontId="23" fillId="0" borderId="71" xfId="38" applyFont="1" applyBorder="1" applyAlignment="1">
      <alignment horizontal="center" wrapText="1"/>
    </xf>
    <xf numFmtId="0" fontId="23" fillId="0" borderId="63" xfId="38" applyFont="1" applyBorder="1" applyAlignment="1">
      <alignment horizontal="center"/>
    </xf>
    <xf numFmtId="166" fontId="23" fillId="0" borderId="37" xfId="38" applyNumberFormat="1" applyFont="1" applyBorder="1" applyAlignment="1">
      <alignment horizontal="center"/>
    </xf>
    <xf numFmtId="165" fontId="23" fillId="0" borderId="37" xfId="38" applyNumberFormat="1" applyFont="1" applyBorder="1" applyAlignment="1">
      <alignment horizontal="center"/>
    </xf>
    <xf numFmtId="166" fontId="24" fillId="0" borderId="38" xfId="38" applyNumberFormat="1" applyFont="1" applyBorder="1" applyAlignment="1">
      <alignment horizontal="center" wrapText="1"/>
    </xf>
    <xf numFmtId="0" fontId="23" fillId="0" borderId="72" xfId="38" applyFont="1" applyBorder="1" applyAlignment="1">
      <alignment horizontal="center" wrapText="1"/>
    </xf>
    <xf numFmtId="0" fontId="23" fillId="0" borderId="41" xfId="38" applyFont="1" applyBorder="1" applyAlignment="1">
      <alignment horizontal="center"/>
    </xf>
    <xf numFmtId="166" fontId="23" fillId="0" borderId="41" xfId="38" applyNumberFormat="1" applyFont="1" applyBorder="1" applyAlignment="1">
      <alignment horizontal="center"/>
    </xf>
    <xf numFmtId="165" fontId="23" fillId="0" borderId="41" xfId="38" applyNumberFormat="1" applyFont="1" applyBorder="1" applyAlignment="1">
      <alignment horizontal="center"/>
    </xf>
    <xf numFmtId="166" fontId="24" fillId="0" borderId="41" xfId="38" applyNumberFormat="1" applyFont="1" applyBorder="1" applyAlignment="1">
      <alignment horizontal="center" wrapText="1"/>
    </xf>
    <xf numFmtId="0" fontId="23" fillId="0" borderId="42" xfId="38" applyFont="1" applyBorder="1" applyAlignment="1">
      <alignment horizontal="center"/>
    </xf>
    <xf numFmtId="166" fontId="23" fillId="0" borderId="42" xfId="38" applyNumberFormat="1" applyFont="1" applyBorder="1" applyAlignment="1">
      <alignment horizontal="center"/>
    </xf>
    <xf numFmtId="165" fontId="23" fillId="0" borderId="42" xfId="38" applyNumberFormat="1" applyFont="1" applyBorder="1" applyAlignment="1">
      <alignment horizontal="center"/>
    </xf>
    <xf numFmtId="166" fontId="24" fillId="0" borderId="42" xfId="38" applyNumberFormat="1" applyFont="1" applyBorder="1" applyAlignment="1">
      <alignment horizontal="center" wrapText="1"/>
    </xf>
    <xf numFmtId="0" fontId="23" fillId="0" borderId="43" xfId="38" applyFont="1" applyBorder="1" applyAlignment="1">
      <alignment horizontal="center"/>
    </xf>
    <xf numFmtId="166" fontId="23" fillId="0" borderId="43" xfId="38" applyNumberFormat="1" applyFont="1" applyBorder="1" applyAlignment="1">
      <alignment horizontal="center"/>
    </xf>
    <xf numFmtId="165" fontId="23" fillId="0" borderId="43" xfId="38" applyNumberFormat="1" applyFont="1" applyBorder="1" applyAlignment="1">
      <alignment horizontal="center"/>
    </xf>
    <xf numFmtId="166" fontId="24" fillId="0" borderId="43" xfId="38" applyNumberFormat="1" applyFont="1" applyBorder="1" applyAlignment="1">
      <alignment horizontal="center" wrapText="1"/>
    </xf>
    <xf numFmtId="0" fontId="24" fillId="0" borderId="0" xfId="38" applyFont="1" applyFill="1" applyAlignment="1"/>
    <xf numFmtId="0" fontId="23" fillId="26" borderId="68" xfId="38" applyFont="1" applyFill="1" applyBorder="1" applyAlignment="1">
      <alignment horizontal="center" vertical="center"/>
    </xf>
    <xf numFmtId="166" fontId="24" fillId="26" borderId="46" xfId="38" applyNumberFormat="1" applyFont="1" applyFill="1" applyBorder="1" applyAlignment="1">
      <alignment horizontal="center" vertical="center"/>
    </xf>
    <xf numFmtId="0" fontId="23" fillId="26" borderId="67" xfId="38" applyFont="1" applyFill="1" applyBorder="1" applyAlignment="1">
      <alignment horizontal="center" vertical="center"/>
    </xf>
    <xf numFmtId="166" fontId="24" fillId="26" borderId="47" xfId="38" applyNumberFormat="1" applyFont="1" applyFill="1" applyBorder="1" applyAlignment="1">
      <alignment horizontal="center" vertical="center"/>
    </xf>
    <xf numFmtId="0" fontId="23" fillId="26" borderId="69" xfId="38" applyFont="1" applyFill="1" applyBorder="1" applyAlignment="1">
      <alignment horizontal="center" vertical="center"/>
    </xf>
    <xf numFmtId="166" fontId="24" fillId="26" borderId="48" xfId="38" applyNumberFormat="1" applyFont="1" applyFill="1" applyBorder="1" applyAlignment="1">
      <alignment horizontal="center" vertical="center"/>
    </xf>
    <xf numFmtId="0" fontId="23" fillId="0" borderId="68" xfId="38" applyFont="1" applyFill="1" applyBorder="1" applyAlignment="1">
      <alignment horizontal="center" vertical="center"/>
    </xf>
    <xf numFmtId="166" fontId="24" fillId="0" borderId="46" xfId="38" applyNumberFormat="1" applyFont="1" applyFill="1" applyBorder="1" applyAlignment="1">
      <alignment horizontal="center" vertical="center"/>
    </xf>
    <xf numFmtId="0" fontId="23" fillId="0" borderId="67" xfId="38" applyFont="1" applyFill="1" applyBorder="1" applyAlignment="1">
      <alignment horizontal="center" vertical="center"/>
    </xf>
    <xf numFmtId="166" fontId="24" fillId="0" borderId="47" xfId="38" applyNumberFormat="1" applyFont="1" applyFill="1" applyBorder="1" applyAlignment="1">
      <alignment horizontal="center" vertical="center"/>
    </xf>
    <xf numFmtId="0" fontId="23" fillId="0" borderId="69" xfId="38" applyFont="1" applyFill="1" applyBorder="1" applyAlignment="1">
      <alignment horizontal="center" vertical="center"/>
    </xf>
    <xf numFmtId="166" fontId="24" fillId="0" borderId="48" xfId="38" applyNumberFormat="1" applyFont="1" applyFill="1" applyBorder="1" applyAlignment="1">
      <alignment horizontal="center" vertical="center"/>
    </xf>
    <xf numFmtId="0" fontId="23" fillId="26" borderId="73" xfId="38" applyFont="1" applyFill="1" applyBorder="1" applyAlignment="1">
      <alignment horizontal="center" vertical="center"/>
    </xf>
    <xf numFmtId="166" fontId="24" fillId="26" borderId="50" xfId="38" applyNumberFormat="1" applyFont="1" applyFill="1" applyBorder="1" applyAlignment="1">
      <alignment horizontal="center" vertical="center"/>
    </xf>
    <xf numFmtId="0" fontId="23" fillId="26" borderId="74" xfId="38" applyFont="1" applyFill="1" applyBorder="1" applyAlignment="1">
      <alignment horizontal="center" vertical="center"/>
    </xf>
    <xf numFmtId="166" fontId="24" fillId="26" borderId="52" xfId="38" applyNumberFormat="1" applyFont="1" applyFill="1" applyBorder="1" applyAlignment="1">
      <alignment horizontal="center" vertical="center"/>
    </xf>
    <xf numFmtId="166" fontId="22" fillId="25" borderId="0" xfId="38" applyNumberFormat="1" applyFont="1" applyFill="1" applyAlignment="1"/>
    <xf numFmtId="0" fontId="56" fillId="0" borderId="0" xfId="45" applyFont="1"/>
    <xf numFmtId="166" fontId="56" fillId="0" borderId="0" xfId="45" applyNumberFormat="1" applyFont="1" applyAlignment="1">
      <alignment horizontal="left"/>
    </xf>
    <xf numFmtId="0" fontId="57" fillId="0" borderId="0" xfId="45" applyFont="1" applyAlignment="1">
      <alignment horizontal="center" vertical="center"/>
    </xf>
    <xf numFmtId="166" fontId="57" fillId="0" borderId="0" xfId="45" applyNumberFormat="1" applyFont="1" applyAlignment="1">
      <alignment horizontal="center"/>
    </xf>
    <xf numFmtId="0" fontId="57" fillId="0" borderId="0" xfId="45" applyFont="1"/>
    <xf numFmtId="166" fontId="57" fillId="0" borderId="0" xfId="45" applyNumberFormat="1" applyFont="1" applyAlignment="1">
      <alignment horizontal="center" vertical="center"/>
    </xf>
    <xf numFmtId="166" fontId="58" fillId="0" borderId="0" xfId="45" applyNumberFormat="1" applyFont="1" applyAlignment="1">
      <alignment horizontal="center"/>
    </xf>
    <xf numFmtId="166" fontId="57" fillId="0" borderId="0" xfId="45" applyNumberFormat="1" applyFont="1"/>
    <xf numFmtId="0" fontId="1" fillId="0" borderId="0" xfId="45" applyFont="1"/>
    <xf numFmtId="6" fontId="59" fillId="0" borderId="0" xfId="45" applyNumberFormat="1" applyFont="1" applyAlignment="1">
      <alignment horizontal="center"/>
    </xf>
    <xf numFmtId="6" fontId="57" fillId="0" borderId="0" xfId="45" applyNumberFormat="1" applyFont="1" applyAlignment="1">
      <alignment horizontal="center"/>
    </xf>
    <xf numFmtId="166" fontId="59" fillId="0" borderId="0" xfId="45" applyNumberFormat="1" applyFont="1" applyAlignment="1">
      <alignment horizontal="left"/>
    </xf>
    <xf numFmtId="0" fontId="57" fillId="0" borderId="0" xfId="45" applyFont="1" applyAlignment="1">
      <alignment horizontal="center"/>
    </xf>
    <xf numFmtId="166" fontId="59" fillId="0" borderId="13" xfId="45" applyNumberFormat="1" applyFont="1" applyBorder="1" applyAlignment="1">
      <alignment horizontal="left"/>
    </xf>
    <xf numFmtId="166" fontId="57" fillId="0" borderId="13" xfId="45" applyNumberFormat="1" applyFont="1" applyBorder="1" applyAlignment="1">
      <alignment horizontal="center"/>
    </xf>
    <xf numFmtId="0" fontId="58" fillId="0" borderId="0" xfId="45" applyFont="1" applyAlignment="1">
      <alignment horizontal="center" wrapText="1"/>
    </xf>
    <xf numFmtId="0" fontId="58" fillId="0" borderId="0" xfId="45" applyFont="1" applyAlignment="1">
      <alignment horizontal="center"/>
    </xf>
    <xf numFmtId="0" fontId="58" fillId="0" borderId="0" xfId="45" applyFont="1"/>
    <xf numFmtId="166" fontId="60" fillId="0" borderId="0" xfId="45" applyNumberFormat="1" applyFont="1" applyAlignment="1">
      <alignment horizontal="left"/>
    </xf>
    <xf numFmtId="0" fontId="1" fillId="0" borderId="0" xfId="45"/>
    <xf numFmtId="0" fontId="1" fillId="0" borderId="0" xfId="45" applyBorder="1"/>
    <xf numFmtId="166" fontId="1" fillId="0" borderId="0" xfId="45" applyNumberFormat="1" applyAlignment="1">
      <alignment horizontal="center"/>
    </xf>
    <xf numFmtId="0" fontId="1" fillId="0" borderId="0" xfId="45" applyAlignment="1">
      <alignment horizontal="center"/>
    </xf>
    <xf numFmtId="0" fontId="57" fillId="0" borderId="0" xfId="45" applyFont="1" applyBorder="1"/>
    <xf numFmtId="166" fontId="57" fillId="0" borderId="0" xfId="45" applyNumberFormat="1" applyFont="1" applyBorder="1" applyAlignment="1">
      <alignment horizontal="center"/>
    </xf>
    <xf numFmtId="0" fontId="57" fillId="0" borderId="0" xfId="45" applyFont="1" applyBorder="1" applyAlignment="1">
      <alignment horizontal="center"/>
    </xf>
    <xf numFmtId="166" fontId="1" fillId="0" borderId="0" xfId="45" applyNumberFormat="1" applyBorder="1" applyAlignment="1">
      <alignment horizontal="center"/>
    </xf>
    <xf numFmtId="0" fontId="1" fillId="0" borderId="0" xfId="45" applyBorder="1" applyAlignment="1">
      <alignment horizontal="center"/>
    </xf>
    <xf numFmtId="166" fontId="58" fillId="0" borderId="0" xfId="45" applyNumberFormat="1" applyFont="1" applyBorder="1" applyAlignment="1">
      <alignment horizontal="center"/>
    </xf>
    <xf numFmtId="0" fontId="58" fillId="0" borderId="0" xfId="45" applyFont="1" applyBorder="1" applyAlignment="1">
      <alignment horizontal="center"/>
    </xf>
    <xf numFmtId="0" fontId="58" fillId="0" borderId="0" xfId="45" applyFont="1" applyBorder="1"/>
    <xf numFmtId="0" fontId="1" fillId="0" borderId="0" xfId="45" applyBorder="1" applyAlignment="1"/>
    <xf numFmtId="0" fontId="1" fillId="0" borderId="13" xfId="45" applyBorder="1"/>
    <xf numFmtId="166" fontId="1" fillId="0" borderId="13" xfId="45" applyNumberFormat="1" applyBorder="1" applyAlignment="1">
      <alignment horizontal="center"/>
    </xf>
    <xf numFmtId="0" fontId="1" fillId="0" borderId="13" xfId="45" applyBorder="1" applyAlignment="1">
      <alignment horizontal="center"/>
    </xf>
    <xf numFmtId="6" fontId="1" fillId="0" borderId="0" xfId="45" applyNumberFormat="1" applyBorder="1" applyAlignment="1">
      <alignment horizontal="center"/>
    </xf>
    <xf numFmtId="0" fontId="1" fillId="0" borderId="0" xfId="45" applyFill="1"/>
    <xf numFmtId="166" fontId="57" fillId="0" borderId="13" xfId="45" applyNumberFormat="1" applyFont="1" applyFill="1" applyBorder="1" applyAlignment="1">
      <alignment horizontal="center"/>
    </xf>
    <xf numFmtId="166" fontId="57" fillId="0" borderId="0" xfId="45" applyNumberFormat="1" applyFont="1" applyFill="1" applyAlignment="1">
      <alignment horizontal="center"/>
    </xf>
    <xf numFmtId="0" fontId="57" fillId="0" borderId="0" xfId="45" applyFont="1" applyFill="1" applyAlignment="1">
      <alignment horizontal="center"/>
    </xf>
    <xf numFmtId="166" fontId="57" fillId="0" borderId="0" xfId="45" applyNumberFormat="1" applyFont="1" applyFill="1" applyBorder="1" applyAlignment="1">
      <alignment horizontal="center"/>
    </xf>
    <xf numFmtId="165" fontId="57" fillId="0" borderId="0" xfId="45" applyNumberFormat="1" applyFont="1"/>
    <xf numFmtId="166" fontId="20" fillId="25" borderId="0" xfId="38" applyNumberFormat="1" applyFont="1" applyFill="1" applyBorder="1" applyAlignment="1">
      <alignment horizontal="center" wrapText="1"/>
    </xf>
    <xf numFmtId="0" fontId="62" fillId="0" borderId="0" xfId="0" applyFont="1" applyAlignment="1">
      <alignment vertical="center" wrapText="1"/>
    </xf>
    <xf numFmtId="0" fontId="0" fillId="0" borderId="11" xfId="0" applyBorder="1"/>
    <xf numFmtId="4" fontId="31" fillId="0" borderId="17" xfId="0" applyNumberFormat="1" applyFont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4" fontId="31" fillId="0" borderId="17" xfId="44" applyNumberFormat="1" applyFont="1" applyBorder="1" applyAlignment="1">
      <alignment horizontal="center" vertical="center"/>
    </xf>
    <xf numFmtId="4" fontId="31" fillId="0" borderId="11" xfId="44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171" fontId="31" fillId="0" borderId="17" xfId="0" applyNumberFormat="1" applyFont="1" applyBorder="1" applyAlignment="1">
      <alignment horizontal="center" vertical="center"/>
    </xf>
    <xf numFmtId="171" fontId="31" fillId="0" borderId="11" xfId="0" applyNumberFormat="1" applyFont="1" applyBorder="1" applyAlignment="1">
      <alignment horizontal="center" vertical="center"/>
    </xf>
    <xf numFmtId="3" fontId="31" fillId="0" borderId="11" xfId="44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/>
    <xf numFmtId="0" fontId="63" fillId="0" borderId="75" xfId="0" applyFont="1" applyBorder="1" applyAlignment="1">
      <alignment vertical="center" wrapText="1"/>
    </xf>
    <xf numFmtId="0" fontId="62" fillId="0" borderId="75" xfId="0" applyFont="1" applyBorder="1" applyAlignment="1">
      <alignment vertical="center" wrapText="1"/>
    </xf>
    <xf numFmtId="0" fontId="1" fillId="0" borderId="11" xfId="0" applyFont="1" applyBorder="1"/>
    <xf numFmtId="0" fontId="62" fillId="0" borderId="76" xfId="0" applyFont="1" applyBorder="1" applyAlignment="1">
      <alignment vertical="center" wrapText="1"/>
    </xf>
    <xf numFmtId="0" fontId="31" fillId="0" borderId="11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8" fillId="0" borderId="0" xfId="38" applyNumberFormat="1" applyFont="1" applyBorder="1" applyAlignment="1">
      <alignment horizontal="left"/>
    </xf>
    <xf numFmtId="0" fontId="28" fillId="0" borderId="0" xfId="38" applyNumberFormat="1" applyFont="1" applyBorder="1" applyAlignment="1">
      <alignment horizontal="center"/>
    </xf>
    <xf numFmtId="0" fontId="28" fillId="0" borderId="0" xfId="38" applyFont="1" applyBorder="1"/>
    <xf numFmtId="167" fontId="28" fillId="0" borderId="0" xfId="38" applyNumberFormat="1" applyFont="1" applyBorder="1" applyAlignment="1">
      <alignment horizontal="center"/>
    </xf>
    <xf numFmtId="0" fontId="24" fillId="0" borderId="0" xfId="38" applyFont="1" applyBorder="1" applyAlignment="1">
      <alignment horizontal="left"/>
    </xf>
    <xf numFmtId="0" fontId="20" fillId="0" borderId="0" xfId="38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28" fillId="0" borderId="0" xfId="38" applyFont="1" applyBorder="1" applyAlignment="1">
      <alignment horizontal="left"/>
    </xf>
    <xf numFmtId="0" fontId="28" fillId="0" borderId="0" xfId="38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center"/>
    </xf>
    <xf numFmtId="0" fontId="26" fillId="0" borderId="0" xfId="38" applyFont="1" applyAlignment="1">
      <alignment horizontal="right"/>
    </xf>
    <xf numFmtId="0" fontId="20" fillId="0" borderId="0" xfId="38" applyFont="1" applyAlignment="1">
      <alignment horizontal="center"/>
    </xf>
    <xf numFmtId="0" fontId="27" fillId="0" borderId="0" xfId="38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38" applyFont="1" applyAlignment="1">
      <alignment horizontal="right"/>
    </xf>
    <xf numFmtId="0" fontId="24" fillId="0" borderId="0" xfId="38" applyFont="1" applyAlignment="1">
      <alignment horizontal="center"/>
    </xf>
    <xf numFmtId="166" fontId="61" fillId="25" borderId="0" xfId="38" applyNumberFormat="1" applyFont="1" applyFill="1" applyBorder="1" applyAlignment="1">
      <alignment horizontal="right"/>
    </xf>
    <xf numFmtId="0" fontId="41" fillId="0" borderId="0" xfId="0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164" fontId="31" fillId="0" borderId="18" xfId="28" applyNumberFormat="1" applyFont="1" applyBorder="1" applyAlignment="1"/>
    <xf numFmtId="164" fontId="31" fillId="0" borderId="19" xfId="0" applyNumberFormat="1" applyFont="1" applyBorder="1" applyAlignment="1"/>
    <xf numFmtId="0" fontId="30" fillId="0" borderId="0" xfId="0" applyFont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4" fontId="31" fillId="0" borderId="18" xfId="0" applyNumberFormat="1" applyFont="1" applyBorder="1" applyAlignment="1"/>
    <xf numFmtId="0" fontId="42" fillId="0" borderId="0" xfId="0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164" fontId="31" fillId="0" borderId="19" xfId="28" applyNumberFormat="1" applyFont="1" applyBorder="1" applyAlignment="1"/>
    <xf numFmtId="0" fontId="34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13" xfId="0" applyFont="1" applyBorder="1" applyAlignment="1">
      <alignment horizontal="center"/>
    </xf>
    <xf numFmtId="0" fontId="31" fillId="0" borderId="0" xfId="44" applyFont="1" applyAlignment="1">
      <alignment horizontal="right"/>
    </xf>
    <xf numFmtId="0" fontId="31" fillId="0" borderId="0" xfId="44" applyFont="1" applyAlignment="1"/>
    <xf numFmtId="164" fontId="31" fillId="0" borderId="18" xfId="44" applyNumberFormat="1" applyFont="1" applyBorder="1" applyAlignment="1"/>
    <xf numFmtId="164" fontId="31" fillId="0" borderId="19" xfId="44" applyNumberFormat="1" applyFont="1" applyBorder="1" applyAlignment="1"/>
    <xf numFmtId="0" fontId="41" fillId="0" borderId="0" xfId="44" applyFont="1" applyAlignment="1">
      <alignment horizontal="center"/>
    </xf>
    <xf numFmtId="165" fontId="41" fillId="0" borderId="0" xfId="44" applyNumberFormat="1" applyFont="1" applyAlignment="1">
      <alignment horizontal="center" vertical="center"/>
    </xf>
    <xf numFmtId="0" fontId="37" fillId="0" borderId="0" xfId="44" applyFont="1" applyAlignment="1">
      <alignment horizontal="right"/>
    </xf>
    <xf numFmtId="0" fontId="37" fillId="0" borderId="13" xfId="44" applyFont="1" applyBorder="1" applyAlignment="1">
      <alignment horizontal="center"/>
    </xf>
    <xf numFmtId="169" fontId="37" fillId="0" borderId="0" xfId="44" applyNumberFormat="1" applyFont="1" applyBorder="1" applyAlignment="1">
      <alignment horizontal="center"/>
    </xf>
    <xf numFmtId="0" fontId="34" fillId="0" borderId="0" xfId="44" applyFont="1" applyAlignment="1">
      <alignment horizontal="right"/>
    </xf>
    <xf numFmtId="0" fontId="41" fillId="0" borderId="0" xfId="44" applyFont="1" applyAlignment="1">
      <alignment horizontal="center" vertical="center"/>
    </xf>
    <xf numFmtId="0" fontId="55" fillId="0" borderId="0" xfId="38" applyFont="1" applyAlignment="1">
      <alignment horizontal="center"/>
    </xf>
    <xf numFmtId="0" fontId="58" fillId="0" borderId="0" xfId="45" applyFont="1" applyAlignment="1">
      <alignment horizontal="right"/>
    </xf>
    <xf numFmtId="0" fontId="57" fillId="0" borderId="0" xfId="45" applyFont="1" applyAlignment="1">
      <alignment horizontal="center" vertical="center"/>
    </xf>
    <xf numFmtId="0" fontId="60" fillId="0" borderId="13" xfId="45" applyFont="1" applyBorder="1" applyAlignment="1">
      <alignment horizontal="center"/>
    </xf>
    <xf numFmtId="0" fontId="57" fillId="0" borderId="0" xfId="45" applyFont="1" applyAlignment="1">
      <alignment horizontal="right"/>
    </xf>
    <xf numFmtId="0" fontId="58" fillId="0" borderId="0" xfId="45" applyFont="1" applyAlignment="1">
      <alignment horizontal="center"/>
    </xf>
    <xf numFmtId="170" fontId="58" fillId="0" borderId="0" xfId="45" applyNumberFormat="1" applyFont="1" applyAlignment="1">
      <alignment horizontal="center"/>
    </xf>
    <xf numFmtId="0" fontId="58" fillId="0" borderId="0" xfId="45" applyFont="1" applyBorder="1" applyAlignment="1">
      <alignment horizontal="center"/>
    </xf>
    <xf numFmtId="0" fontId="64" fillId="0" borderId="0" xfId="0" applyFont="1" applyBorder="1" applyAlignment="1">
      <alignment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45" xr:uid="{00000000-0005-0000-0000-000027000000}"/>
    <cellStyle name="Normal 3" xfId="44" xr:uid="{00000000-0005-0000-0000-000028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110066</xdr:colOff>
      <xdr:row>0</xdr:row>
      <xdr:rowOff>16933</xdr:rowOff>
    </xdr:from>
    <xdr:to>
      <xdr:col>0</xdr:col>
      <xdr:colOff>1447799</xdr:colOff>
      <xdr:row>4</xdr:row>
      <xdr:rowOff>85080</xdr:rowOff>
    </xdr:to>
    <xdr:pic>
      <xdr:nvPicPr>
        <xdr:cNvPr id="2" name="Picture 2" descr="INFR-Logo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66" y="16933"/>
          <a:ext cx="1337733" cy="105028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B63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31.28515625" style="5" customWidth="1"/>
    <col min="2" max="2" width="7.28515625" style="7" bestFit="1" customWidth="1"/>
    <col min="3" max="4" width="8.28515625" style="7" customWidth="1"/>
    <col min="5" max="5" width="10" style="9" customWidth="1"/>
    <col min="6" max="6" width="9.28515625" style="9" customWidth="1"/>
    <col min="7" max="7" width="9.5703125" style="9" bestFit="1" customWidth="1"/>
    <col min="8" max="8" width="9.85546875" style="9" customWidth="1"/>
    <col min="9" max="16" width="9.7109375" style="9" customWidth="1"/>
    <col min="17" max="17" width="10.5703125" style="62" customWidth="1"/>
    <col min="18" max="18" width="8.85546875" style="299"/>
    <col min="19" max="19" width="8.85546875" style="5"/>
    <col min="20" max="22" width="8.85546875" style="7"/>
    <col min="23" max="16384" width="8.85546875" style="5"/>
  </cols>
  <sheetData>
    <row r="1" spans="1:23" s="1" customFormat="1" x14ac:dyDescent="0.25"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1"/>
      <c r="R1" s="298"/>
      <c r="T1" s="2"/>
      <c r="U1" s="2"/>
      <c r="V1" s="2"/>
    </row>
    <row r="2" spans="1:23" s="1" customFormat="1" ht="23.25" x14ac:dyDescent="0.35">
      <c r="A2" s="506" t="s">
        <v>183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298"/>
      <c r="T2" s="2"/>
      <c r="U2" s="2"/>
      <c r="V2" s="2"/>
    </row>
    <row r="3" spans="1:23" s="1" customFormat="1" ht="23.25" x14ac:dyDescent="0.35">
      <c r="A3" s="506" t="s">
        <v>145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298"/>
      <c r="T3" s="2"/>
      <c r="U3" s="2"/>
      <c r="V3" s="2"/>
    </row>
    <row r="5" spans="1:23" s="1" customFormat="1" ht="35.450000000000003" customHeight="1" thickBot="1" x14ac:dyDescent="0.3">
      <c r="A5" s="3" t="s">
        <v>21</v>
      </c>
      <c r="B5" s="4" t="s">
        <v>22</v>
      </c>
      <c r="C5" s="4" t="s">
        <v>2</v>
      </c>
      <c r="D5" s="4" t="s">
        <v>5</v>
      </c>
      <c r="E5" s="63" t="s">
        <v>23</v>
      </c>
      <c r="F5" s="63" t="s">
        <v>42</v>
      </c>
      <c r="G5" s="63" t="s">
        <v>41</v>
      </c>
      <c r="H5" s="63" t="s">
        <v>24</v>
      </c>
      <c r="I5" s="64" t="s">
        <v>25</v>
      </c>
      <c r="J5" s="64" t="s">
        <v>26</v>
      </c>
      <c r="K5" s="64" t="s">
        <v>27</v>
      </c>
      <c r="L5" s="64" t="s">
        <v>28</v>
      </c>
      <c r="M5" s="64" t="s">
        <v>29</v>
      </c>
      <c r="N5" s="64" t="s">
        <v>30</v>
      </c>
      <c r="O5" s="64" t="s">
        <v>35</v>
      </c>
      <c r="P5" s="64" t="s">
        <v>36</v>
      </c>
      <c r="Q5" s="64" t="s">
        <v>39</v>
      </c>
      <c r="R5" s="298"/>
      <c r="T5" s="11"/>
      <c r="U5" s="11"/>
      <c r="V5" s="11"/>
      <c r="W5" s="10"/>
    </row>
    <row r="6" spans="1:23" s="324" customFormat="1" ht="13.9" customHeight="1" thickTop="1" x14ac:dyDescent="0.25">
      <c r="A6" s="316" t="s">
        <v>63</v>
      </c>
      <c r="B6" s="317">
        <f>Bareback!C5</f>
        <v>6</v>
      </c>
      <c r="C6" s="318">
        <f>Bareback!C6</f>
        <v>100</v>
      </c>
      <c r="D6" s="318">
        <f>Bareback!E6</f>
        <v>600</v>
      </c>
      <c r="E6" s="318">
        <f>Bareback!E8</f>
        <v>5000</v>
      </c>
      <c r="F6" s="318">
        <f>Bareback!E10</f>
        <v>5600</v>
      </c>
      <c r="G6" s="318">
        <f>Bareback!E12</f>
        <v>336</v>
      </c>
      <c r="H6" s="318">
        <f>Bareback!B18</f>
        <v>2105.6</v>
      </c>
      <c r="I6" s="319">
        <f>Bareback!D21</f>
        <v>610.62399999999991</v>
      </c>
      <c r="J6" s="319">
        <f>Bareback!D22</f>
        <v>505.34399999999994</v>
      </c>
      <c r="K6" s="319">
        <f>Bareback!D23</f>
        <v>400.06399999999996</v>
      </c>
      <c r="L6" s="319">
        <f>Bareback!D24</f>
        <v>294.78399999999999</v>
      </c>
      <c r="M6" s="319">
        <f>Bareback!D25</f>
        <v>155.29</v>
      </c>
      <c r="N6" s="319">
        <f>Bareback!D26</f>
        <v>155.29</v>
      </c>
      <c r="O6" s="319"/>
      <c r="P6" s="319"/>
      <c r="Q6" s="320">
        <f>B6*15</f>
        <v>90</v>
      </c>
      <c r="R6" s="321">
        <f>SUM(I6:P6)</f>
        <v>2121.3959999999997</v>
      </c>
      <c r="S6" s="322"/>
      <c r="T6" s="11"/>
      <c r="U6" s="11"/>
      <c r="V6" s="11"/>
      <c r="W6" s="323"/>
    </row>
    <row r="7" spans="1:23" s="324" customFormat="1" ht="13.9" customHeight="1" x14ac:dyDescent="0.25">
      <c r="A7" s="325" t="s">
        <v>64</v>
      </c>
      <c r="B7" s="326"/>
      <c r="C7" s="327"/>
      <c r="D7" s="327"/>
      <c r="E7" s="327"/>
      <c r="F7" s="327"/>
      <c r="G7" s="327"/>
      <c r="H7" s="327">
        <f>Bareback!G18</f>
        <v>1052.8</v>
      </c>
      <c r="I7" s="328">
        <f>Bareback!I21</f>
        <v>421.12</v>
      </c>
      <c r="J7" s="328">
        <f>Bareback!I22</f>
        <v>315.83999999999997</v>
      </c>
      <c r="K7" s="328">
        <f>Bareback!I23</f>
        <v>210.56</v>
      </c>
      <c r="L7" s="328">
        <f>Bareback!I24</f>
        <v>105.28</v>
      </c>
      <c r="M7" s="328"/>
      <c r="N7" s="328"/>
      <c r="O7" s="328"/>
      <c r="P7" s="328"/>
      <c r="Q7" s="329"/>
      <c r="R7" s="321">
        <f t="shared" ref="R7:R50" si="0">SUM(I7:P7)</f>
        <v>1052.8</v>
      </c>
      <c r="S7" s="322"/>
      <c r="T7" s="11"/>
      <c r="U7" s="11"/>
      <c r="V7" s="11"/>
      <c r="W7" s="323"/>
    </row>
    <row r="8" spans="1:23" s="324" customFormat="1" ht="13.9" customHeight="1" thickBot="1" x14ac:dyDescent="0.3">
      <c r="A8" s="330" t="s">
        <v>141</v>
      </c>
      <c r="B8" s="331"/>
      <c r="C8" s="332"/>
      <c r="D8" s="332"/>
      <c r="E8" s="332"/>
      <c r="F8" s="332"/>
      <c r="G8" s="332"/>
      <c r="H8" s="332">
        <f>Bareback!L18</f>
        <v>2105.6</v>
      </c>
      <c r="I8" s="333">
        <f>Bareback!N21</f>
        <v>610.62399999999991</v>
      </c>
      <c r="J8" s="333">
        <f>Bareback!N22</f>
        <v>505.34399999999994</v>
      </c>
      <c r="K8" s="333">
        <f>Bareback!N23</f>
        <v>400.06399999999996</v>
      </c>
      <c r="L8" s="333">
        <f>Bareback!N24</f>
        <v>294.78399999999999</v>
      </c>
      <c r="M8" s="333">
        <f>Bareback!N25</f>
        <v>189.50399999999999</v>
      </c>
      <c r="N8" s="333">
        <f>Bareback!N26</f>
        <v>105.28</v>
      </c>
      <c r="O8" s="333"/>
      <c r="P8" s="333"/>
      <c r="Q8" s="334"/>
      <c r="R8" s="321">
        <f t="shared" si="0"/>
        <v>2105.6</v>
      </c>
      <c r="S8" s="322"/>
      <c r="T8" s="11"/>
      <c r="U8" s="11"/>
      <c r="V8" s="11"/>
      <c r="W8" s="323"/>
    </row>
    <row r="9" spans="1:23" s="324" customFormat="1" ht="13.9" customHeight="1" x14ac:dyDescent="0.25">
      <c r="A9" s="335" t="s">
        <v>65</v>
      </c>
      <c r="B9" s="336">
        <f>'Saddle Bronc'!C5</f>
        <v>8</v>
      </c>
      <c r="C9" s="337">
        <f>'Saddle Bronc'!C6</f>
        <v>100</v>
      </c>
      <c r="D9" s="337">
        <f>'Saddle Bronc'!E6</f>
        <v>800</v>
      </c>
      <c r="E9" s="337">
        <f>'Saddle Bronc'!E8:F8</f>
        <v>5000</v>
      </c>
      <c r="F9" s="337">
        <f>'Saddle Bronc'!E10</f>
        <v>5800</v>
      </c>
      <c r="G9" s="337">
        <f>'Saddle Bronc'!E12</f>
        <v>348</v>
      </c>
      <c r="H9" s="337">
        <f>'Saddle Bronc'!B18</f>
        <v>2180.8000000000002</v>
      </c>
      <c r="I9" s="338">
        <f>'Saddle Bronc'!D21</f>
        <v>632.43200000000002</v>
      </c>
      <c r="J9" s="338">
        <f>'Saddle Bronc'!D22</f>
        <v>523.39200000000005</v>
      </c>
      <c r="K9" s="338">
        <f>'Saddle Bronc'!D23</f>
        <v>414.35200000000003</v>
      </c>
      <c r="L9" s="338">
        <f>'Saddle Bronc'!D24</f>
        <v>305.31200000000007</v>
      </c>
      <c r="M9" s="338">
        <f>'Saddle Bronc'!D25</f>
        <v>196.27200000000002</v>
      </c>
      <c r="N9" s="338">
        <f>'Saddle Bronc'!D26</f>
        <v>109.04000000000002</v>
      </c>
      <c r="O9" s="338"/>
      <c r="P9" s="338"/>
      <c r="Q9" s="339">
        <f>B9*15</f>
        <v>120</v>
      </c>
      <c r="R9" s="321">
        <f t="shared" si="0"/>
        <v>2180.8000000000002</v>
      </c>
      <c r="S9" s="322"/>
      <c r="T9" s="11"/>
      <c r="U9" s="11"/>
      <c r="V9" s="11"/>
      <c r="W9" s="323"/>
    </row>
    <row r="10" spans="1:23" s="324" customFormat="1" ht="13.9" customHeight="1" x14ac:dyDescent="0.25">
      <c r="A10" s="340" t="s">
        <v>144</v>
      </c>
      <c r="B10" s="341"/>
      <c r="C10" s="342"/>
      <c r="D10" s="342"/>
      <c r="E10" s="342"/>
      <c r="F10" s="342"/>
      <c r="G10" s="342"/>
      <c r="H10" s="342">
        <f>'Saddle Bronc'!G18</f>
        <v>1090.4000000000001</v>
      </c>
      <c r="I10" s="343">
        <f>'Saddle Bronc'!I21</f>
        <v>436.16000000000008</v>
      </c>
      <c r="J10" s="343">
        <f>'Saddle Bronc'!I22</f>
        <v>327.12</v>
      </c>
      <c r="K10" s="343">
        <f>'Saddle Bronc'!I23</f>
        <v>218.08000000000004</v>
      </c>
      <c r="L10" s="343">
        <f>'Saddle Bronc'!I24</f>
        <v>109.04000000000002</v>
      </c>
      <c r="M10" s="343"/>
      <c r="N10" s="343"/>
      <c r="O10" s="343"/>
      <c r="P10" s="343"/>
      <c r="Q10" s="344"/>
      <c r="R10" s="321">
        <f t="shared" si="0"/>
        <v>1090.4000000000001</v>
      </c>
      <c r="S10" s="322"/>
      <c r="T10" s="11"/>
      <c r="U10" s="11"/>
      <c r="V10" s="11"/>
      <c r="W10" s="323"/>
    </row>
    <row r="11" spans="1:23" s="324" customFormat="1" ht="13.9" customHeight="1" thickBot="1" x14ac:dyDescent="0.3">
      <c r="A11" s="345" t="s">
        <v>48</v>
      </c>
      <c r="B11" s="346"/>
      <c r="C11" s="347"/>
      <c r="D11" s="347"/>
      <c r="E11" s="347"/>
      <c r="F11" s="348"/>
      <c r="G11" s="348"/>
      <c r="H11" s="348">
        <f>'Saddle Bronc'!L18</f>
        <v>2180.8000000000002</v>
      </c>
      <c r="I11" s="349">
        <f>'Saddle Bronc'!N21</f>
        <v>632.43200000000002</v>
      </c>
      <c r="J11" s="349">
        <f>'Saddle Bronc'!N22</f>
        <v>523.39200000000005</v>
      </c>
      <c r="K11" s="349">
        <f>'Saddle Bronc'!N23</f>
        <v>414.35200000000003</v>
      </c>
      <c r="L11" s="349">
        <f>'Saddle Bronc'!N24</f>
        <v>305.31200000000007</v>
      </c>
      <c r="M11" s="349">
        <f>'Saddle Bronc'!N25</f>
        <v>196.27200000000002</v>
      </c>
      <c r="N11" s="349">
        <f>'Saddle Bronc'!N26</f>
        <v>109.04000000000002</v>
      </c>
      <c r="O11" s="349"/>
      <c r="P11" s="349"/>
      <c r="Q11" s="350"/>
      <c r="R11" s="321">
        <f t="shared" si="0"/>
        <v>2180.8000000000002</v>
      </c>
      <c r="S11" s="322"/>
      <c r="T11" s="11"/>
      <c r="U11" s="11"/>
      <c r="V11" s="11"/>
      <c r="W11" s="323"/>
    </row>
    <row r="12" spans="1:23" s="324" customFormat="1" ht="13.9" customHeight="1" x14ac:dyDescent="0.25">
      <c r="A12" s="351" t="s">
        <v>68</v>
      </c>
      <c r="B12" s="352">
        <f>'Bull Riding'!C5</f>
        <v>10</v>
      </c>
      <c r="C12" s="353">
        <f>'Bull Riding'!C6</f>
        <v>100</v>
      </c>
      <c r="D12" s="353">
        <f>'Bull Riding'!E6</f>
        <v>1000</v>
      </c>
      <c r="E12" s="353">
        <f>'Bull Riding'!E8:F8</f>
        <v>5000</v>
      </c>
      <c r="F12" s="354">
        <f>'Bull Riding'!E10</f>
        <v>6000</v>
      </c>
      <c r="G12" s="354">
        <f>'Bull Riding'!E12</f>
        <v>360</v>
      </c>
      <c r="H12" s="354">
        <f>'Bull Riding'!B18</f>
        <v>2256</v>
      </c>
      <c r="I12" s="355">
        <f>'Bull Riding'!D21</f>
        <v>654.24</v>
      </c>
      <c r="J12" s="355">
        <f>'Bull Riding'!D22</f>
        <v>541.43999999999994</v>
      </c>
      <c r="K12" s="355">
        <f>'Bull Riding'!D23</f>
        <v>428.64</v>
      </c>
      <c r="L12" s="355">
        <f>'Bull Riding'!D24</f>
        <v>315.84000000000003</v>
      </c>
      <c r="M12" s="355" t="str">
        <f>'Bull Riding'!D25</f>
        <v xml:space="preserve"> </v>
      </c>
      <c r="N12" s="355" t="str">
        <f>'Bull Riding'!D26</f>
        <v xml:space="preserve"> </v>
      </c>
      <c r="O12" s="355"/>
      <c r="P12" s="355"/>
      <c r="Q12" s="356">
        <f>B12*15</f>
        <v>150</v>
      </c>
      <c r="R12" s="321">
        <f t="shared" si="0"/>
        <v>1940.1599999999999</v>
      </c>
      <c r="S12" s="322"/>
      <c r="T12" s="11"/>
      <c r="U12" s="11"/>
      <c r="V12" s="11"/>
      <c r="W12" s="323"/>
    </row>
    <row r="13" spans="1:23" s="324" customFormat="1" ht="13.9" customHeight="1" x14ac:dyDescent="0.25">
      <c r="A13" s="357" t="s">
        <v>69</v>
      </c>
      <c r="B13" s="358"/>
      <c r="C13" s="359"/>
      <c r="D13" s="359"/>
      <c r="E13" s="359"/>
      <c r="F13" s="359"/>
      <c r="G13" s="359"/>
      <c r="H13" s="359">
        <f>'Bull Riding'!G18</f>
        <v>1128</v>
      </c>
      <c r="I13" s="360">
        <f>'Bull Riding'!I21</f>
        <v>451.20000000000005</v>
      </c>
      <c r="J13" s="360">
        <f>'Bull Riding'!I22</f>
        <v>338.4</v>
      </c>
      <c r="K13" s="360">
        <f>'Bull Riding'!I23</f>
        <v>225.60000000000002</v>
      </c>
      <c r="L13" s="360">
        <f>'Bull Riding'!I24</f>
        <v>112.80000000000001</v>
      </c>
      <c r="M13" s="360"/>
      <c r="N13" s="360"/>
      <c r="O13" s="360"/>
      <c r="P13" s="360"/>
      <c r="Q13" s="361"/>
      <c r="R13" s="321">
        <f t="shared" si="0"/>
        <v>1128</v>
      </c>
      <c r="S13" s="322"/>
      <c r="T13" s="11"/>
      <c r="U13" s="11"/>
      <c r="V13" s="11"/>
      <c r="W13" s="323"/>
    </row>
    <row r="14" spans="1:23" s="324" customFormat="1" ht="13.9" customHeight="1" thickBot="1" x14ac:dyDescent="0.3">
      <c r="A14" s="362" t="s">
        <v>139</v>
      </c>
      <c r="B14" s="363"/>
      <c r="C14" s="364"/>
      <c r="D14" s="365"/>
      <c r="E14" s="365"/>
      <c r="F14" s="365"/>
      <c r="G14" s="365"/>
      <c r="H14" s="365">
        <f>'Bull Riding'!L18</f>
        <v>2256</v>
      </c>
      <c r="I14" s="366">
        <f>'Bull Riding'!N21</f>
        <v>654.24</v>
      </c>
      <c r="J14" s="366">
        <f>'Bull Riding'!N22</f>
        <v>541.43999999999994</v>
      </c>
      <c r="K14" s="366">
        <f>'Bull Riding'!N23</f>
        <v>428.64</v>
      </c>
      <c r="L14" s="366">
        <f>'Bull Riding'!N24</f>
        <v>315.84000000000003</v>
      </c>
      <c r="M14" s="366" t="str">
        <f>'Bull Riding'!N25</f>
        <v xml:space="preserve"> </v>
      </c>
      <c r="N14" s="366" t="str">
        <f>'Bull Riding'!N26</f>
        <v xml:space="preserve"> </v>
      </c>
      <c r="O14" s="366"/>
      <c r="P14" s="366"/>
      <c r="Q14" s="367"/>
      <c r="R14" s="321">
        <f t="shared" si="0"/>
        <v>1940.1599999999999</v>
      </c>
      <c r="S14" s="322"/>
      <c r="T14" s="11"/>
      <c r="U14" s="11"/>
      <c r="V14" s="11"/>
      <c r="W14" s="323"/>
    </row>
    <row r="15" spans="1:23" s="324" customFormat="1" ht="13.9" customHeight="1" x14ac:dyDescent="0.25">
      <c r="A15" s="368" t="s">
        <v>70</v>
      </c>
      <c r="B15" s="336">
        <f>'Steer Wrestling'!C5</f>
        <v>31</v>
      </c>
      <c r="C15" s="337">
        <f>'Steer Wrestling'!C6</f>
        <v>100</v>
      </c>
      <c r="D15" s="337">
        <f>'Steer Wrestling'!E6</f>
        <v>3100</v>
      </c>
      <c r="E15" s="337">
        <f>'Steer Wrestling'!E8:F8</f>
        <v>5000</v>
      </c>
      <c r="F15" s="337">
        <v>1052</v>
      </c>
      <c r="G15" s="337">
        <f>'Steer Wrestling'!E12</f>
        <v>486</v>
      </c>
      <c r="H15" s="337">
        <f>'Steer Wrestling'!B18</f>
        <v>3045.6000000000004</v>
      </c>
      <c r="I15" s="338">
        <f>'Steer Wrestling'!D21</f>
        <v>883.22400000000005</v>
      </c>
      <c r="J15" s="338">
        <f>'Steer Wrestling'!D22</f>
        <v>730.94400000000007</v>
      </c>
      <c r="K15" s="338">
        <f>'Steer Wrestling'!D23</f>
        <v>578.6640000000001</v>
      </c>
      <c r="L15" s="338">
        <f>'Steer Wrestling'!D24</f>
        <v>426.38400000000007</v>
      </c>
      <c r="M15" s="338">
        <f>'Steer Wrestling'!D25</f>
        <v>274.10400000000004</v>
      </c>
      <c r="N15" s="338">
        <f>'Steer Wrestling'!D26</f>
        <v>152.28000000000003</v>
      </c>
      <c r="O15" s="338"/>
      <c r="P15" s="338"/>
      <c r="Q15" s="339">
        <f>B15*15</f>
        <v>465</v>
      </c>
      <c r="R15" s="321">
        <f t="shared" si="0"/>
        <v>3045.6000000000008</v>
      </c>
      <c r="S15" s="322"/>
      <c r="T15" s="11"/>
      <c r="U15" s="11"/>
      <c r="V15" s="11"/>
      <c r="W15" s="323"/>
    </row>
    <row r="16" spans="1:23" s="324" customFormat="1" ht="13.9" customHeight="1" x14ac:dyDescent="0.25">
      <c r="A16" s="340" t="s">
        <v>71</v>
      </c>
      <c r="B16" s="341"/>
      <c r="C16" s="342"/>
      <c r="D16" s="342"/>
      <c r="E16" s="342"/>
      <c r="F16" s="342"/>
      <c r="G16" s="342"/>
      <c r="H16" s="342">
        <f>'Steer Wrestling'!G18</f>
        <v>1522.8000000000002</v>
      </c>
      <c r="I16" s="343">
        <f>'Steer Wrestling'!I21</f>
        <v>609.12000000000012</v>
      </c>
      <c r="J16" s="343">
        <f>'Steer Wrestling'!I22</f>
        <v>456.84000000000003</v>
      </c>
      <c r="K16" s="343">
        <f>'Steer Wrestling'!I23</f>
        <v>304.56000000000006</v>
      </c>
      <c r="L16" s="343">
        <f>'Steer Wrestling'!I24</f>
        <v>152.28000000000003</v>
      </c>
      <c r="M16" s="343"/>
      <c r="N16" s="343"/>
      <c r="O16" s="343"/>
      <c r="P16" s="343"/>
      <c r="Q16" s="344"/>
      <c r="R16" s="321">
        <f t="shared" si="0"/>
        <v>1522.8</v>
      </c>
      <c r="S16" s="322"/>
      <c r="T16" s="11"/>
      <c r="U16" s="11"/>
      <c r="V16" s="11"/>
      <c r="W16" s="323"/>
    </row>
    <row r="17" spans="1:23" s="324" customFormat="1" ht="13.9" customHeight="1" thickBot="1" x14ac:dyDescent="0.3">
      <c r="A17" s="369" t="s">
        <v>140</v>
      </c>
      <c r="B17" s="370"/>
      <c r="C17" s="348"/>
      <c r="D17" s="348"/>
      <c r="E17" s="348"/>
      <c r="F17" s="348"/>
      <c r="G17" s="348"/>
      <c r="H17" s="348">
        <f>'Steer Wrestling'!L18</f>
        <v>3045.6000000000004</v>
      </c>
      <c r="I17" s="349">
        <f>'Steer Wrestling'!N21</f>
        <v>883.22400000000005</v>
      </c>
      <c r="J17" s="349">
        <f>'Steer Wrestling'!N22</f>
        <v>730.94400000000007</v>
      </c>
      <c r="K17" s="349">
        <f>'Steer Wrestling'!N23</f>
        <v>578.6640000000001</v>
      </c>
      <c r="L17" s="349">
        <f>'Steer Wrestling'!N24</f>
        <v>426.38400000000007</v>
      </c>
      <c r="M17" s="349">
        <f>'Steer Wrestling'!N25</f>
        <v>274.10400000000004</v>
      </c>
      <c r="N17" s="349">
        <f>'Steer Wrestling'!N26</f>
        <v>152.28000000000003</v>
      </c>
      <c r="O17" s="349"/>
      <c r="P17" s="349"/>
      <c r="Q17" s="350"/>
      <c r="R17" s="321">
        <f t="shared" si="0"/>
        <v>3045.6000000000008</v>
      </c>
      <c r="S17" s="322"/>
      <c r="T17" s="11"/>
      <c r="U17" s="11"/>
      <c r="V17" s="11"/>
      <c r="W17" s="323"/>
    </row>
    <row r="18" spans="1:23" s="324" customFormat="1" ht="13.9" customHeight="1" x14ac:dyDescent="0.25">
      <c r="A18" s="351" t="s">
        <v>72</v>
      </c>
      <c r="B18" s="371">
        <f>'Tie Down Roping'!C5</f>
        <v>33</v>
      </c>
      <c r="C18" s="372">
        <v>71</v>
      </c>
      <c r="D18" s="372">
        <v>1420</v>
      </c>
      <c r="E18" s="372">
        <f>'Tie Down Roping'!E8:F8</f>
        <v>5000</v>
      </c>
      <c r="F18" s="372">
        <v>1620</v>
      </c>
      <c r="G18" s="372">
        <f>'Tie Down Roping'!E12</f>
        <v>498</v>
      </c>
      <c r="H18" s="372">
        <f>'Tie Down Roping'!B18</f>
        <v>3120.8</v>
      </c>
      <c r="I18" s="373">
        <f>'Tie Down Roping'!D21</f>
        <v>905.03200000000004</v>
      </c>
      <c r="J18" s="373">
        <f>'Tie Down Roping'!D22</f>
        <v>748.99199999999996</v>
      </c>
      <c r="K18" s="373">
        <f>'Tie Down Roping'!D23</f>
        <v>592.952</v>
      </c>
      <c r="L18" s="373">
        <f>'Tie Down Roping'!D24</f>
        <v>436.91200000000009</v>
      </c>
      <c r="M18" s="373">
        <f>'Tie Down Roping'!D25</f>
        <v>280.87200000000001</v>
      </c>
      <c r="N18" s="373">
        <f>'Tie Down Roping'!D26</f>
        <v>156.04000000000002</v>
      </c>
      <c r="O18" s="373"/>
      <c r="P18" s="373"/>
      <c r="Q18" s="374">
        <f>B18*15</f>
        <v>495</v>
      </c>
      <c r="R18" s="321">
        <f t="shared" si="0"/>
        <v>3120.7999999999997</v>
      </c>
      <c r="S18" s="322"/>
      <c r="T18" s="11"/>
      <c r="U18" s="11"/>
      <c r="V18" s="11"/>
      <c r="W18" s="323"/>
    </row>
    <row r="19" spans="1:23" s="324" customFormat="1" ht="13.9" customHeight="1" x14ac:dyDescent="0.25">
      <c r="A19" s="357" t="s">
        <v>73</v>
      </c>
      <c r="B19" s="358"/>
      <c r="C19" s="359"/>
      <c r="D19" s="359"/>
      <c r="E19" s="359"/>
      <c r="F19" s="359"/>
      <c r="G19" s="359"/>
      <c r="H19" s="359">
        <f>'Tie Down Roping'!G18</f>
        <v>1560.4</v>
      </c>
      <c r="I19" s="360">
        <f>'Tie Down Roping'!I21</f>
        <v>624.16000000000008</v>
      </c>
      <c r="J19" s="360">
        <f>'Tie Down Roping'!I22</f>
        <v>468.12</v>
      </c>
      <c r="K19" s="360">
        <f>'Tie Down Roping'!I23</f>
        <v>312.08000000000004</v>
      </c>
      <c r="L19" s="360">
        <f>'Tie Down Roping'!I24</f>
        <v>156.04000000000002</v>
      </c>
      <c r="M19" s="360"/>
      <c r="N19" s="360"/>
      <c r="O19" s="360"/>
      <c r="P19" s="360"/>
      <c r="Q19" s="361"/>
      <c r="R19" s="321">
        <f t="shared" si="0"/>
        <v>1560.4</v>
      </c>
      <c r="S19" s="322"/>
      <c r="T19" s="11"/>
      <c r="U19" s="11"/>
      <c r="V19" s="11"/>
      <c r="W19" s="323"/>
    </row>
    <row r="20" spans="1:23" s="324" customFormat="1" ht="13.9" customHeight="1" thickBot="1" x14ac:dyDescent="0.3">
      <c r="A20" s="375" t="s">
        <v>74</v>
      </c>
      <c r="B20" s="376"/>
      <c r="C20" s="365"/>
      <c r="D20" s="365"/>
      <c r="E20" s="365"/>
      <c r="F20" s="365"/>
      <c r="G20" s="365"/>
      <c r="H20" s="365">
        <f>'Tie Down Roping'!L18</f>
        <v>3120.8</v>
      </c>
      <c r="I20" s="366">
        <f>'Tie Down Roping'!N21</f>
        <v>905.03200000000004</v>
      </c>
      <c r="J20" s="366">
        <f>'Tie Down Roping'!N22</f>
        <v>748.99199999999996</v>
      </c>
      <c r="K20" s="366">
        <f>'Tie Down Roping'!N23</f>
        <v>592.952</v>
      </c>
      <c r="L20" s="366">
        <f>'Tie Down Roping'!N24</f>
        <v>436.91200000000009</v>
      </c>
      <c r="M20" s="366">
        <f>'Tie Down Roping'!N25</f>
        <v>280.87200000000001</v>
      </c>
      <c r="N20" s="366">
        <f>'Tie Down Roping'!N26</f>
        <v>156.04000000000002</v>
      </c>
      <c r="O20" s="366"/>
      <c r="P20" s="366"/>
      <c r="Q20" s="367"/>
      <c r="R20" s="321">
        <f t="shared" si="0"/>
        <v>3120.7999999999997</v>
      </c>
      <c r="S20" s="322"/>
      <c r="T20" s="11"/>
      <c r="U20" s="11"/>
      <c r="V20" s="11"/>
      <c r="W20" s="323"/>
    </row>
    <row r="21" spans="1:23" s="324" customFormat="1" ht="13.9" customHeight="1" x14ac:dyDescent="0.25">
      <c r="A21" s="368" t="s">
        <v>75</v>
      </c>
      <c r="B21" s="336">
        <f>Breakaway!C5</f>
        <v>46</v>
      </c>
      <c r="C21" s="337">
        <v>71</v>
      </c>
      <c r="D21" s="337">
        <f>Breakaway!E6</f>
        <v>4600</v>
      </c>
      <c r="E21" s="337">
        <f>Breakaway!E8</f>
        <v>5000</v>
      </c>
      <c r="F21" s="337">
        <f>Breakaway!E10</f>
        <v>9600</v>
      </c>
      <c r="G21" s="337">
        <f>Breakaway!E12</f>
        <v>576</v>
      </c>
      <c r="H21" s="337">
        <f>Breakaway!B18</f>
        <v>3609.6000000000004</v>
      </c>
      <c r="I21" s="338">
        <f>Breakaway!D21</f>
        <v>1046.7840000000001</v>
      </c>
      <c r="J21" s="338">
        <f>Breakaway!D22</f>
        <v>866.30400000000009</v>
      </c>
      <c r="K21" s="338">
        <f>Breakaway!D23</f>
        <v>685.82400000000007</v>
      </c>
      <c r="L21" s="338">
        <f>Breakaway!D24</f>
        <v>505.34400000000011</v>
      </c>
      <c r="M21" s="338">
        <f>Breakaway!D25</f>
        <v>324.86400000000003</v>
      </c>
      <c r="N21" s="338">
        <f>Breakaway!D26</f>
        <v>180.48000000000002</v>
      </c>
      <c r="O21" s="338"/>
      <c r="P21" s="338"/>
      <c r="Q21" s="339">
        <f>B21*15</f>
        <v>690</v>
      </c>
      <c r="R21" s="321">
        <f t="shared" si="0"/>
        <v>3609.6000000000004</v>
      </c>
      <c r="S21" s="322"/>
      <c r="T21" s="11"/>
      <c r="U21" s="11"/>
      <c r="V21" s="11"/>
      <c r="W21" s="323"/>
    </row>
    <row r="22" spans="1:23" s="324" customFormat="1" ht="13.9" customHeight="1" x14ac:dyDescent="0.25">
      <c r="A22" s="340" t="s">
        <v>76</v>
      </c>
      <c r="B22" s="341"/>
      <c r="C22" s="342"/>
      <c r="D22" s="342"/>
      <c r="E22" s="342"/>
      <c r="F22" s="342"/>
      <c r="G22" s="342"/>
      <c r="H22" s="342">
        <f>Breakaway!G18</f>
        <v>1804.8000000000002</v>
      </c>
      <c r="I22" s="343">
        <f>Breakaway!I21</f>
        <v>721.92000000000007</v>
      </c>
      <c r="J22" s="343">
        <f>Breakaway!I22</f>
        <v>541.44000000000005</v>
      </c>
      <c r="K22" s="343">
        <f>Breakaway!I23</f>
        <v>360.96000000000004</v>
      </c>
      <c r="L22" s="343">
        <f>Breakaway!I24</f>
        <v>180.48000000000002</v>
      </c>
      <c r="M22" s="343">
        <f>Breakaway!I25</f>
        <v>0</v>
      </c>
      <c r="N22" s="343">
        <f>Breakaway!I26</f>
        <v>0</v>
      </c>
      <c r="O22" s="343"/>
      <c r="P22" s="343"/>
      <c r="Q22" s="344"/>
      <c r="R22" s="321">
        <f t="shared" si="0"/>
        <v>1804.8000000000002</v>
      </c>
      <c r="S22" s="322"/>
      <c r="T22" s="11"/>
      <c r="U22" s="11"/>
      <c r="V22" s="11"/>
      <c r="W22" s="323"/>
    </row>
    <row r="23" spans="1:23" s="324" customFormat="1" ht="13.9" customHeight="1" thickBot="1" x14ac:dyDescent="0.3">
      <c r="A23" s="369" t="s">
        <v>77</v>
      </c>
      <c r="B23" s="370"/>
      <c r="C23" s="348"/>
      <c r="D23" s="348"/>
      <c r="E23" s="348"/>
      <c r="F23" s="348"/>
      <c r="G23" s="348"/>
      <c r="H23" s="348">
        <f>Breakaway!L18</f>
        <v>3609.6000000000004</v>
      </c>
      <c r="I23" s="349">
        <f>Breakaway!N21</f>
        <v>1046.7840000000001</v>
      </c>
      <c r="J23" s="349">
        <f>Breakaway!N22</f>
        <v>866.30400000000009</v>
      </c>
      <c r="K23" s="349">
        <f>Breakaway!N23</f>
        <v>685.82400000000007</v>
      </c>
      <c r="L23" s="349">
        <f>Breakaway!N31</f>
        <v>0</v>
      </c>
      <c r="M23" s="349">
        <f>Breakaway!N24</f>
        <v>505.34400000000011</v>
      </c>
      <c r="N23" s="349">
        <f>Breakaway!N25</f>
        <v>324.86400000000003</v>
      </c>
      <c r="O23" s="349"/>
      <c r="P23" s="349"/>
      <c r="Q23" s="350"/>
      <c r="R23" s="321">
        <f t="shared" si="0"/>
        <v>3429.1200000000003</v>
      </c>
      <c r="S23" s="322"/>
      <c r="T23" s="11"/>
      <c r="U23" s="11"/>
      <c r="V23" s="11"/>
      <c r="W23" s="323"/>
    </row>
    <row r="24" spans="1:23" s="324" customFormat="1" ht="13.9" customHeight="1" x14ac:dyDescent="0.25">
      <c r="A24" s="377" t="s">
        <v>78</v>
      </c>
      <c r="B24" s="378">
        <f>'Barrel Racing'!C5</f>
        <v>50</v>
      </c>
      <c r="C24" s="354">
        <v>100</v>
      </c>
      <c r="D24" s="354">
        <f>'Barrel Racing'!E6</f>
        <v>5000</v>
      </c>
      <c r="E24" s="354">
        <f>'Barrel Racing'!E8:F8</f>
        <v>5000</v>
      </c>
      <c r="F24" s="354">
        <f>'Barrel Racing'!E10</f>
        <v>10000</v>
      </c>
      <c r="G24" s="354">
        <f>'Barrel Racing'!E12</f>
        <v>600</v>
      </c>
      <c r="H24" s="354">
        <f>'Barrel Racing'!B18</f>
        <v>3760</v>
      </c>
      <c r="I24" s="355">
        <f>'Barrel Racing'!D21</f>
        <v>1090.3999999999999</v>
      </c>
      <c r="J24" s="355">
        <f>'Barrel Racing'!D22</f>
        <v>902.4</v>
      </c>
      <c r="K24" s="355">
        <f>'Barrel Racing'!D23</f>
        <v>714.4</v>
      </c>
      <c r="L24" s="355">
        <f>'Barrel Racing'!D24</f>
        <v>526.40000000000009</v>
      </c>
      <c r="M24" s="355">
        <f>'Barrel Racing'!D25</f>
        <v>338.4</v>
      </c>
      <c r="N24" s="355">
        <f>'Barrel Racing'!D26</f>
        <v>188</v>
      </c>
      <c r="O24" s="355"/>
      <c r="P24" s="355"/>
      <c r="Q24" s="356">
        <f>B24*3</f>
        <v>150</v>
      </c>
      <c r="R24" s="321">
        <f t="shared" si="0"/>
        <v>3760</v>
      </c>
      <c r="S24" s="322"/>
      <c r="T24" s="11"/>
      <c r="U24" s="11"/>
      <c r="V24" s="11"/>
      <c r="W24" s="323"/>
    </row>
    <row r="25" spans="1:23" s="324" customFormat="1" ht="13.9" customHeight="1" x14ac:dyDescent="0.25">
      <c r="A25" s="357" t="s">
        <v>79</v>
      </c>
      <c r="B25" s="358"/>
      <c r="C25" s="359"/>
      <c r="D25" s="359"/>
      <c r="E25" s="359"/>
      <c r="F25" s="359"/>
      <c r="G25" s="359"/>
      <c r="H25" s="359">
        <f>'Barrel Racing'!G18</f>
        <v>1880</v>
      </c>
      <c r="I25" s="360">
        <f>'Barrel Racing'!I21</f>
        <v>752</v>
      </c>
      <c r="J25" s="360">
        <f>'Barrel Racing'!I22</f>
        <v>564</v>
      </c>
      <c r="K25" s="360">
        <f>'Barrel Racing'!I23</f>
        <v>376</v>
      </c>
      <c r="L25" s="360">
        <f>'Barrel Racing'!I24</f>
        <v>188</v>
      </c>
      <c r="M25" s="360"/>
      <c r="N25" s="360"/>
      <c r="O25" s="360"/>
      <c r="P25" s="360"/>
      <c r="Q25" s="361"/>
      <c r="R25" s="321">
        <f t="shared" si="0"/>
        <v>1880</v>
      </c>
      <c r="S25" s="322"/>
      <c r="T25" s="11"/>
      <c r="U25" s="11"/>
      <c r="V25" s="11"/>
      <c r="W25" s="323"/>
    </row>
    <row r="26" spans="1:23" s="324" customFormat="1" ht="13.9" customHeight="1" thickBot="1" x14ac:dyDescent="0.3">
      <c r="A26" s="362" t="s">
        <v>80</v>
      </c>
      <c r="B26" s="379"/>
      <c r="C26" s="380"/>
      <c r="D26" s="380"/>
      <c r="E26" s="380"/>
      <c r="F26" s="380"/>
      <c r="G26" s="380"/>
      <c r="H26" s="380">
        <f>'Barrel Racing'!L18</f>
        <v>3760</v>
      </c>
      <c r="I26" s="381">
        <f>'Barrel Racing'!N21</f>
        <v>1090.3999999999999</v>
      </c>
      <c r="J26" s="381">
        <f>'Barrel Racing'!N22</f>
        <v>902.4</v>
      </c>
      <c r="K26" s="381">
        <f>'Barrel Racing'!N23</f>
        <v>714.4</v>
      </c>
      <c r="L26" s="381">
        <f>'Barrel Racing'!N24</f>
        <v>526.40000000000009</v>
      </c>
      <c r="M26" s="381">
        <f>'Barrel Racing'!N25</f>
        <v>338.4</v>
      </c>
      <c r="N26" s="381">
        <f>'Barrel Racing'!N26</f>
        <v>188</v>
      </c>
      <c r="O26" s="381"/>
      <c r="P26" s="381"/>
      <c r="Q26" s="382"/>
      <c r="R26" s="321">
        <f t="shared" si="0"/>
        <v>3760</v>
      </c>
      <c r="S26" s="322"/>
      <c r="T26" s="11"/>
      <c r="U26" s="11"/>
      <c r="V26" s="11"/>
      <c r="W26" s="323"/>
    </row>
    <row r="27" spans="1:23" s="324" customFormat="1" ht="13.9" customHeight="1" x14ac:dyDescent="0.25">
      <c r="A27" s="368" t="s">
        <v>81</v>
      </c>
      <c r="B27" s="383">
        <f>'TR Header'!C5</f>
        <v>87</v>
      </c>
      <c r="C27" s="384">
        <f>'TR Header'!C6</f>
        <v>100</v>
      </c>
      <c r="D27" s="384">
        <f>'TR Header'!E6</f>
        <v>8700</v>
      </c>
      <c r="E27" s="384">
        <f>'TR Header'!E8:F8</f>
        <v>5000</v>
      </c>
      <c r="F27" s="384">
        <f>'TR Header'!E10</f>
        <v>13700</v>
      </c>
      <c r="G27" s="384">
        <f>'TR Header'!E12</f>
        <v>822</v>
      </c>
      <c r="H27" s="384">
        <f>'TR Header'!B18</f>
        <v>5151.2000000000007</v>
      </c>
      <c r="I27" s="385">
        <f>'TR Header'!D21</f>
        <v>1184.7760000000003</v>
      </c>
      <c r="J27" s="385">
        <f>'TR Header'!D22</f>
        <v>1030.2400000000002</v>
      </c>
      <c r="K27" s="385">
        <f>'TR Header'!D23</f>
        <v>875.70400000000018</v>
      </c>
      <c r="L27" s="385">
        <f>'TR Header'!D24</f>
        <v>721.16800000000012</v>
      </c>
      <c r="M27" s="385">
        <f>'TR Header'!D25</f>
        <v>566.63200000000006</v>
      </c>
      <c r="N27" s="385">
        <f>'TR Header'!D26</f>
        <v>412.09600000000006</v>
      </c>
      <c r="O27" s="385">
        <f>'TR Header'!D27</f>
        <v>257.56000000000006</v>
      </c>
      <c r="P27" s="385">
        <f>'TR Header'!D28</f>
        <v>103.02400000000002</v>
      </c>
      <c r="Q27" s="386">
        <f>B27*15</f>
        <v>1305</v>
      </c>
      <c r="R27" s="321">
        <f t="shared" si="0"/>
        <v>5151.2000000000016</v>
      </c>
      <c r="S27" s="322"/>
      <c r="T27" s="140"/>
      <c r="U27" s="140"/>
      <c r="V27" s="140"/>
    </row>
    <row r="28" spans="1:23" s="324" customFormat="1" ht="13.9" customHeight="1" x14ac:dyDescent="0.25">
      <c r="A28" s="387" t="s">
        <v>82</v>
      </c>
      <c r="B28" s="388"/>
      <c r="C28" s="389"/>
      <c r="D28" s="389"/>
      <c r="E28" s="389"/>
      <c r="F28" s="389"/>
      <c r="G28" s="389"/>
      <c r="H28" s="389">
        <f>'TR Header'!G18</f>
        <v>2575.6000000000004</v>
      </c>
      <c r="I28" s="390">
        <f>'TR Header'!I21</f>
        <v>746.92400000000009</v>
      </c>
      <c r="J28" s="390">
        <f>'TR Header'!I22</f>
        <v>618.14400000000012</v>
      </c>
      <c r="K28" s="390">
        <f>'TR Header'!I23</f>
        <v>489.36400000000009</v>
      </c>
      <c r="L28" s="390">
        <f>'TR Header'!I24</f>
        <v>360.58400000000006</v>
      </c>
      <c r="M28" s="390">
        <f>'TR Header'!I25</f>
        <v>231.80400000000003</v>
      </c>
      <c r="N28" s="390">
        <f>'TR Header'!I26</f>
        <v>128.78000000000003</v>
      </c>
      <c r="O28" s="390"/>
      <c r="P28" s="390"/>
      <c r="Q28" s="391"/>
      <c r="R28" s="321">
        <f t="shared" si="0"/>
        <v>2575.6000000000008</v>
      </c>
      <c r="S28" s="322"/>
      <c r="T28" s="140"/>
      <c r="U28" s="140"/>
      <c r="V28" s="140"/>
    </row>
    <row r="29" spans="1:23" s="324" customFormat="1" ht="13.9" customHeight="1" thickBot="1" x14ac:dyDescent="0.3">
      <c r="A29" s="392" t="s">
        <v>83</v>
      </c>
      <c r="B29" s="393"/>
      <c r="C29" s="394"/>
      <c r="D29" s="394"/>
      <c r="E29" s="394"/>
      <c r="F29" s="394"/>
      <c r="G29" s="394"/>
      <c r="H29" s="394">
        <f>'TR Header'!L18</f>
        <v>5151.2000000000007</v>
      </c>
      <c r="I29" s="395">
        <f>'TR Header'!N21</f>
        <v>1184.7760000000003</v>
      </c>
      <c r="J29" s="395">
        <f>'TR Header'!N22</f>
        <v>1030.2400000000002</v>
      </c>
      <c r="K29" s="395">
        <f>'TR Header'!N23</f>
        <v>875.70400000000018</v>
      </c>
      <c r="L29" s="395">
        <f>'TR Header'!N24</f>
        <v>721.16800000000012</v>
      </c>
      <c r="M29" s="395">
        <f>'TR Header'!N25</f>
        <v>566.63200000000006</v>
      </c>
      <c r="N29" s="395">
        <f>'TR Header'!N26</f>
        <v>412.09600000000006</v>
      </c>
      <c r="O29" s="395">
        <f>'TR Header'!N27</f>
        <v>257.56000000000006</v>
      </c>
      <c r="P29" s="395">
        <f>'TR Header'!N28</f>
        <v>103.02400000000002</v>
      </c>
      <c r="Q29" s="396"/>
      <c r="R29" s="321">
        <f t="shared" si="0"/>
        <v>5151.2000000000016</v>
      </c>
      <c r="S29" s="322"/>
      <c r="T29" s="140"/>
      <c r="U29" s="140"/>
      <c r="V29" s="140"/>
    </row>
    <row r="30" spans="1:23" s="324" customFormat="1" ht="13.9" customHeight="1" x14ac:dyDescent="0.25">
      <c r="A30" s="397" t="s">
        <v>84</v>
      </c>
      <c r="B30" s="398">
        <f>'TR Heeler'!C5</f>
        <v>87</v>
      </c>
      <c r="C30" s="399">
        <f>'TR Header'!C6</f>
        <v>100</v>
      </c>
      <c r="D30" s="399">
        <f>'TR Heeler'!E6</f>
        <v>8700</v>
      </c>
      <c r="E30" s="399">
        <f>'TR Heeler'!E8:F8</f>
        <v>5000</v>
      </c>
      <c r="F30" s="399">
        <f>'TR Heeler'!E10</f>
        <v>13700</v>
      </c>
      <c r="G30" s="399">
        <f>'TR Heeler'!E12</f>
        <v>822</v>
      </c>
      <c r="H30" s="399">
        <f>'TR Heeler'!B18</f>
        <v>5151.2000000000007</v>
      </c>
      <c r="I30" s="400">
        <f>'TR Heeler'!D21</f>
        <v>1184.7760000000003</v>
      </c>
      <c r="J30" s="400">
        <f>'TR Heeler'!D22</f>
        <v>1030.2400000000002</v>
      </c>
      <c r="K30" s="400">
        <f>'TR Heeler'!D23</f>
        <v>875.70400000000018</v>
      </c>
      <c r="L30" s="400">
        <f>'TR Heeler'!D24</f>
        <v>721.16800000000012</v>
      </c>
      <c r="M30" s="400">
        <f>'TR Heeler'!D25</f>
        <v>566.63200000000006</v>
      </c>
      <c r="N30" s="400">
        <f>'TR Heeler'!D26</f>
        <v>412.09600000000006</v>
      </c>
      <c r="O30" s="400">
        <f>'TR Heeler'!D27</f>
        <v>257.56000000000006</v>
      </c>
      <c r="P30" s="400">
        <f>'TR Heeler'!D28</f>
        <v>103.02400000000002</v>
      </c>
      <c r="Q30" s="401">
        <f>B30*15</f>
        <v>1305</v>
      </c>
      <c r="R30" s="321">
        <f t="shared" si="0"/>
        <v>5151.2000000000016</v>
      </c>
      <c r="S30" s="322"/>
      <c r="T30" s="140"/>
      <c r="U30" s="140"/>
      <c r="V30" s="140"/>
    </row>
    <row r="31" spans="1:23" s="324" customFormat="1" ht="13.9" customHeight="1" x14ac:dyDescent="0.25">
      <c r="A31" s="340" t="s">
        <v>85</v>
      </c>
      <c r="B31" s="402"/>
      <c r="C31" s="403"/>
      <c r="D31" s="403"/>
      <c r="E31" s="403"/>
      <c r="F31" s="403"/>
      <c r="G31" s="403"/>
      <c r="H31" s="403">
        <f>'TR Heeler'!G18</f>
        <v>2575.6000000000004</v>
      </c>
      <c r="I31" s="404">
        <f>'TR Heeler'!I21</f>
        <v>746.92400000000009</v>
      </c>
      <c r="J31" s="404">
        <f>'TR Heeler'!I22</f>
        <v>618.14400000000012</v>
      </c>
      <c r="K31" s="404">
        <f>'TR Heeler'!I23</f>
        <v>489.36400000000009</v>
      </c>
      <c r="L31" s="404">
        <f>'TR Heeler'!I24</f>
        <v>360.58400000000006</v>
      </c>
      <c r="M31" s="404">
        <f>'TR Heeler'!I25</f>
        <v>231.80400000000003</v>
      </c>
      <c r="N31" s="404">
        <f>'TR Heeler'!I26</f>
        <v>128.78000000000003</v>
      </c>
      <c r="O31" s="404"/>
      <c r="P31" s="404"/>
      <c r="Q31" s="405"/>
      <c r="R31" s="321">
        <f t="shared" si="0"/>
        <v>2575.6000000000008</v>
      </c>
      <c r="S31" s="322"/>
      <c r="T31" s="140"/>
      <c r="U31" s="140"/>
      <c r="V31" s="140"/>
    </row>
    <row r="32" spans="1:23" s="324" customFormat="1" ht="13.9" customHeight="1" thickBot="1" x14ac:dyDescent="0.3">
      <c r="A32" s="369" t="s">
        <v>86</v>
      </c>
      <c r="B32" s="406"/>
      <c r="C32" s="407"/>
      <c r="D32" s="407"/>
      <c r="E32" s="407"/>
      <c r="F32" s="407"/>
      <c r="G32" s="407"/>
      <c r="H32" s="407">
        <f>'TR Heeler'!L18</f>
        <v>5151.2000000000007</v>
      </c>
      <c r="I32" s="408">
        <f>'TR Heeler'!N21</f>
        <v>1184.7760000000003</v>
      </c>
      <c r="J32" s="408">
        <f>'TR Heeler'!N22</f>
        <v>1030.2400000000002</v>
      </c>
      <c r="K32" s="408">
        <f>'TR Heeler'!N23</f>
        <v>875.70400000000018</v>
      </c>
      <c r="L32" s="408">
        <f>'TR Heeler'!N24</f>
        <v>721.16800000000012</v>
      </c>
      <c r="M32" s="408">
        <f>'TR Heeler'!N25</f>
        <v>566.63200000000006</v>
      </c>
      <c r="N32" s="408">
        <f>'TR Heeler'!N26</f>
        <v>412.09600000000006</v>
      </c>
      <c r="O32" s="408">
        <f>'TR Heeler'!N27</f>
        <v>257.56000000000006</v>
      </c>
      <c r="P32" s="408">
        <f>'TR Heeler'!N28</f>
        <v>103.02400000000002</v>
      </c>
      <c r="Q32" s="409"/>
      <c r="R32" s="321">
        <f t="shared" si="0"/>
        <v>5151.2000000000016</v>
      </c>
      <c r="S32" s="322"/>
      <c r="T32" s="140"/>
      <c r="U32" s="140"/>
      <c r="V32" s="140"/>
    </row>
    <row r="33" spans="1:28" s="324" customFormat="1" ht="13.9" customHeight="1" x14ac:dyDescent="0.35">
      <c r="A33" s="411" t="s">
        <v>87</v>
      </c>
      <c r="B33" s="158">
        <f>'Jr. Breakaway'!C5</f>
        <v>15</v>
      </c>
      <c r="C33" s="141">
        <f>'Jr. Breakaway'!C6</f>
        <v>50</v>
      </c>
      <c r="D33" s="141">
        <f>'Jr. Breakaway'!E6</f>
        <v>750</v>
      </c>
      <c r="E33" s="141">
        <f>'Jr. Breakaway'!E8:F8</f>
        <v>1000</v>
      </c>
      <c r="F33" s="141">
        <f>'Jr. Breakaway'!E10</f>
        <v>1750</v>
      </c>
      <c r="G33" s="141">
        <f>'Jr. Breakaway'!E12</f>
        <v>105</v>
      </c>
      <c r="H33" s="141">
        <f>'Jr. Breakaway'!B18</f>
        <v>658</v>
      </c>
      <c r="I33" s="145">
        <f>'Jr. Breakaway'!D21</f>
        <v>263.2</v>
      </c>
      <c r="J33" s="145">
        <f>'Jr. Breakaway'!D22</f>
        <v>197.4</v>
      </c>
      <c r="K33" s="145">
        <f>'Jr. Breakaway'!D23</f>
        <v>131.6</v>
      </c>
      <c r="L33" s="145">
        <f>'Jr. Breakaway'!D24</f>
        <v>65.8</v>
      </c>
      <c r="M33" s="145"/>
      <c r="N33" s="145"/>
      <c r="O33" s="145"/>
      <c r="P33" s="145"/>
      <c r="Q33" s="412">
        <f>B33*15</f>
        <v>225</v>
      </c>
      <c r="R33" s="321">
        <f t="shared" si="0"/>
        <v>658</v>
      </c>
      <c r="S33" s="322"/>
      <c r="T33" s="140"/>
      <c r="U33" s="140"/>
      <c r="V33" s="507"/>
      <c r="W33" s="507"/>
      <c r="X33" s="507"/>
      <c r="Y33" s="507"/>
      <c r="Z33" s="507"/>
      <c r="AA33" s="507"/>
    </row>
    <row r="34" spans="1:28" s="324" customFormat="1" ht="13.9" customHeight="1" x14ac:dyDescent="0.35">
      <c r="A34" s="413" t="s">
        <v>88</v>
      </c>
      <c r="B34" s="159"/>
      <c r="C34" s="143"/>
      <c r="D34" s="143"/>
      <c r="E34" s="143"/>
      <c r="F34" s="143"/>
      <c r="G34" s="143"/>
      <c r="H34" s="143">
        <f>'Jr. Breakaway'!G18</f>
        <v>329</v>
      </c>
      <c r="I34" s="146">
        <f>'Jr. Breakaway'!I21</f>
        <v>131.6</v>
      </c>
      <c r="J34" s="146">
        <f>'Jr. Breakaway'!I22</f>
        <v>98.7</v>
      </c>
      <c r="K34" s="146">
        <f>'Jr. Breakaway'!I23</f>
        <v>65.8</v>
      </c>
      <c r="L34" s="146">
        <f>'Jr. Breakaway'!I24</f>
        <v>32.9</v>
      </c>
      <c r="M34" s="146"/>
      <c r="N34" s="146"/>
      <c r="O34" s="146"/>
      <c r="P34" s="146"/>
      <c r="Q34" s="414"/>
      <c r="R34" s="321">
        <f t="shared" si="0"/>
        <v>329</v>
      </c>
      <c r="S34" s="322"/>
      <c r="T34" s="140"/>
      <c r="U34" s="140"/>
      <c r="V34" s="139"/>
      <c r="W34" s="139"/>
      <c r="X34" s="139"/>
      <c r="Y34" s="139"/>
      <c r="Z34" s="139"/>
      <c r="AA34" s="139"/>
    </row>
    <row r="35" spans="1:28" s="324" customFormat="1" ht="13.9" customHeight="1" thickBot="1" x14ac:dyDescent="0.4">
      <c r="A35" s="415" t="s">
        <v>89</v>
      </c>
      <c r="B35" s="160"/>
      <c r="C35" s="142"/>
      <c r="D35" s="142"/>
      <c r="E35" s="142"/>
      <c r="F35" s="142"/>
      <c r="G35" s="142"/>
      <c r="H35" s="142">
        <f>'Jr. Breakaway'!L18</f>
        <v>658</v>
      </c>
      <c r="I35" s="147">
        <f>'Jr. Breakaway'!N21</f>
        <v>263.2</v>
      </c>
      <c r="J35" s="147">
        <f>'Jr. Breakaway'!N22</f>
        <v>197.4</v>
      </c>
      <c r="K35" s="147">
        <f>'Jr. Breakaway'!N23</f>
        <v>131.6</v>
      </c>
      <c r="L35" s="147">
        <f>'Jr. Breakaway'!N24</f>
        <v>65.8</v>
      </c>
      <c r="M35" s="147"/>
      <c r="N35" s="147"/>
      <c r="O35" s="147"/>
      <c r="P35" s="147"/>
      <c r="Q35" s="416"/>
      <c r="R35" s="321">
        <f t="shared" si="0"/>
        <v>658</v>
      </c>
      <c r="S35" s="322"/>
      <c r="T35" s="140"/>
      <c r="U35" s="140"/>
      <c r="V35" s="139"/>
      <c r="W35" s="139"/>
      <c r="X35" s="139"/>
      <c r="Y35" s="139"/>
      <c r="Z35" s="139"/>
      <c r="AA35" s="139"/>
    </row>
    <row r="36" spans="1:28" s="410" customFormat="1" ht="13.9" customHeight="1" x14ac:dyDescent="0.25">
      <c r="A36" s="417" t="s">
        <v>90</v>
      </c>
      <c r="B36" s="161">
        <f>'Jr. Barrel Racing'!C5</f>
        <v>17</v>
      </c>
      <c r="C36" s="148">
        <f>'Jr. Bull Riding'!C6</f>
        <v>50</v>
      </c>
      <c r="D36" s="148">
        <f>'Jr. Barrel Racing'!E6</f>
        <v>850</v>
      </c>
      <c r="E36" s="148">
        <f>'Jr. Barrel Racing'!E8:F8</f>
        <v>1000</v>
      </c>
      <c r="F36" s="148">
        <f>'Jr. Barrel Racing'!E10</f>
        <v>1850</v>
      </c>
      <c r="G36" s="148">
        <f>'Jr. Barrel Racing'!E12</f>
        <v>111</v>
      </c>
      <c r="H36" s="148">
        <f>'Jr. Barrel Racing'!B18</f>
        <v>695.6</v>
      </c>
      <c r="I36" s="149">
        <f>'Jr. Barrel Racing'!D21</f>
        <v>278.24</v>
      </c>
      <c r="J36" s="149">
        <f>'Jr. Barrel Racing'!D22</f>
        <v>208.68</v>
      </c>
      <c r="K36" s="149">
        <f>'Jr. Barrel Racing'!D23</f>
        <v>139.12</v>
      </c>
      <c r="L36" s="149">
        <f>'Jr. Barrel Racing'!D24</f>
        <v>69.56</v>
      </c>
      <c r="M36" s="149"/>
      <c r="N36" s="149"/>
      <c r="O36" s="149"/>
      <c r="P36" s="149"/>
      <c r="Q36" s="418">
        <f>B36*3</f>
        <v>51</v>
      </c>
      <c r="R36" s="321">
        <f t="shared" si="0"/>
        <v>695.59999999999991</v>
      </c>
      <c r="S36" s="322"/>
      <c r="T36" s="144"/>
      <c r="U36" s="144"/>
      <c r="V36" s="144"/>
      <c r="W36" s="144"/>
      <c r="X36" s="144"/>
      <c r="Y36" s="144"/>
      <c r="Z36" s="144"/>
      <c r="AA36" s="144"/>
      <c r="AB36" s="144"/>
    </row>
    <row r="37" spans="1:28" s="410" customFormat="1" ht="13.9" customHeight="1" x14ac:dyDescent="0.25">
      <c r="A37" s="419" t="s">
        <v>90</v>
      </c>
      <c r="B37" s="162"/>
      <c r="C37" s="150"/>
      <c r="D37" s="150"/>
      <c r="E37" s="150"/>
      <c r="F37" s="150"/>
      <c r="G37" s="150"/>
      <c r="H37" s="150">
        <f>'Jr. Barrel Racing'!G18</f>
        <v>347.8</v>
      </c>
      <c r="I37" s="151">
        <f>'Jr. Barrel Racing'!I21</f>
        <v>139.12</v>
      </c>
      <c r="J37" s="151">
        <f>'Jr. Barrel Racing'!I22</f>
        <v>104.34</v>
      </c>
      <c r="K37" s="151">
        <f>'Jr. Barrel Racing'!I23</f>
        <v>69.56</v>
      </c>
      <c r="L37" s="151">
        <f>'Jr. Barrel Racing'!I24</f>
        <v>34.78</v>
      </c>
      <c r="M37" s="151"/>
      <c r="N37" s="151"/>
      <c r="O37" s="151"/>
      <c r="P37" s="151"/>
      <c r="Q37" s="420"/>
      <c r="R37" s="321">
        <f t="shared" si="0"/>
        <v>347.79999999999995</v>
      </c>
      <c r="S37" s="322"/>
      <c r="T37" s="144"/>
      <c r="U37" s="144"/>
      <c r="V37" s="144"/>
      <c r="W37" s="144"/>
      <c r="X37" s="144"/>
      <c r="Y37" s="144"/>
      <c r="Z37" s="144"/>
      <c r="AA37" s="144"/>
      <c r="AB37" s="144"/>
    </row>
    <row r="38" spans="1:28" s="410" customFormat="1" ht="13.9" customHeight="1" thickBot="1" x14ac:dyDescent="0.3">
      <c r="A38" s="421" t="s">
        <v>142</v>
      </c>
      <c r="B38" s="163"/>
      <c r="C38" s="152"/>
      <c r="D38" s="152"/>
      <c r="E38" s="152"/>
      <c r="F38" s="152"/>
      <c r="G38" s="152"/>
      <c r="H38" s="152">
        <f>'Jr. Barrel Racing'!L18</f>
        <v>695.6</v>
      </c>
      <c r="I38" s="153">
        <f>'Jr. Barrel Racing'!N21</f>
        <v>278.24</v>
      </c>
      <c r="J38" s="153">
        <f>'Jr. Barrel Racing'!N22</f>
        <v>208.68</v>
      </c>
      <c r="K38" s="153">
        <f>'Jr. Barrel Racing'!N23</f>
        <v>139.12</v>
      </c>
      <c r="L38" s="153">
        <f>'Jr. Barrel Racing'!N24</f>
        <v>69.56</v>
      </c>
      <c r="M38" s="153"/>
      <c r="N38" s="153"/>
      <c r="O38" s="153"/>
      <c r="P38" s="153"/>
      <c r="Q38" s="422"/>
      <c r="R38" s="321">
        <f t="shared" si="0"/>
        <v>695.59999999999991</v>
      </c>
      <c r="S38" s="322"/>
      <c r="T38" s="144"/>
      <c r="U38" s="144"/>
      <c r="V38" s="144"/>
      <c r="W38" s="144"/>
      <c r="X38" s="144"/>
      <c r="Y38" s="144"/>
      <c r="Z38" s="144"/>
      <c r="AA38" s="144"/>
      <c r="AB38" s="144"/>
    </row>
    <row r="39" spans="1:28" s="324" customFormat="1" ht="13.9" customHeight="1" x14ac:dyDescent="0.35">
      <c r="A39" s="411" t="s">
        <v>92</v>
      </c>
      <c r="B39" s="158">
        <f>'Jr. Bull Riding'!C5</f>
        <v>3</v>
      </c>
      <c r="C39" s="141">
        <f>'Jr. Bull Riding'!C6</f>
        <v>50</v>
      </c>
      <c r="D39" s="141">
        <f>'Jr. Bull Riding'!E6</f>
        <v>150</v>
      </c>
      <c r="E39" s="141">
        <f>'Jr. Bull Riding'!E8:F8</f>
        <v>1000</v>
      </c>
      <c r="F39" s="141">
        <f>'Jr. Bull Riding'!E10</f>
        <v>1150</v>
      </c>
      <c r="G39" s="141">
        <f>'Jr. Bull Riding'!E12</f>
        <v>69</v>
      </c>
      <c r="H39" s="141">
        <f>'Jr. Bull Riding'!B18</f>
        <v>432.40000000000003</v>
      </c>
      <c r="I39" s="145">
        <f>'Jr. Bull Riding'!D21</f>
        <v>259.39999999999998</v>
      </c>
      <c r="J39" s="145">
        <f>'Jr. Bull Riding'!D22</f>
        <v>172.96</v>
      </c>
      <c r="K39" s="145">
        <f>'Jr. Bull Riding'!D23</f>
        <v>0</v>
      </c>
      <c r="L39" s="145">
        <f>'Jr. Bull Riding'!D24</f>
        <v>0</v>
      </c>
      <c r="M39" s="145"/>
      <c r="N39" s="145"/>
      <c r="O39" s="145"/>
      <c r="P39" s="145"/>
      <c r="Q39" s="412">
        <f>B39*15</f>
        <v>45</v>
      </c>
      <c r="R39" s="321">
        <f t="shared" si="0"/>
        <v>432.36</v>
      </c>
      <c r="S39" s="322"/>
      <c r="T39" s="140"/>
      <c r="U39" s="140"/>
      <c r="V39" s="139"/>
      <c r="W39" s="139"/>
      <c r="X39" s="139"/>
      <c r="Y39" s="139"/>
      <c r="Z39" s="139"/>
      <c r="AA39" s="139"/>
    </row>
    <row r="40" spans="1:28" s="324" customFormat="1" ht="13.9" customHeight="1" x14ac:dyDescent="0.35">
      <c r="A40" s="413" t="s">
        <v>93</v>
      </c>
      <c r="B40" s="159"/>
      <c r="C40" s="143"/>
      <c r="D40" s="143"/>
      <c r="E40" s="143"/>
      <c r="F40" s="143"/>
      <c r="G40" s="143"/>
      <c r="H40" s="143">
        <f>'Jr. Bull Riding'!G18</f>
        <v>216.20000000000002</v>
      </c>
      <c r="I40" s="146">
        <f>'Jr. Bull Riding'!I21</f>
        <v>129.72</v>
      </c>
      <c r="J40" s="146">
        <f>'Jr. Bull Riding'!I22</f>
        <v>86.480000000000018</v>
      </c>
      <c r="K40" s="146">
        <f>'Jr. Bull Riding'!I23</f>
        <v>0</v>
      </c>
      <c r="L40" s="146">
        <f>'Jr. Bull Riding'!I24</f>
        <v>0</v>
      </c>
      <c r="M40" s="146"/>
      <c r="N40" s="146"/>
      <c r="O40" s="146"/>
      <c r="P40" s="146"/>
      <c r="Q40" s="414"/>
      <c r="R40" s="321">
        <f t="shared" si="0"/>
        <v>216.20000000000002</v>
      </c>
      <c r="S40" s="322"/>
      <c r="T40" s="140"/>
      <c r="U40" s="140"/>
      <c r="V40" s="139"/>
      <c r="W40" s="139"/>
      <c r="X40" s="139"/>
      <c r="Y40" s="139"/>
      <c r="Z40" s="139"/>
      <c r="AA40" s="139"/>
    </row>
    <row r="41" spans="1:28" s="324" customFormat="1" ht="13.9" customHeight="1" thickBot="1" x14ac:dyDescent="0.4">
      <c r="A41" s="415" t="s">
        <v>94</v>
      </c>
      <c r="B41" s="160"/>
      <c r="C41" s="142"/>
      <c r="D41" s="142"/>
      <c r="E41" s="142"/>
      <c r="F41" s="142"/>
      <c r="G41" s="142"/>
      <c r="H41" s="142">
        <f>'Jr. Bull Riding'!L18</f>
        <v>432.40000000000003</v>
      </c>
      <c r="I41" s="147">
        <f>'Jr. Bull Riding'!N21</f>
        <v>259.44</v>
      </c>
      <c r="J41" s="147">
        <f>'Jr. Bull Riding'!N22</f>
        <v>172.96000000000004</v>
      </c>
      <c r="K41" s="147">
        <f>'Jr. Bull Riding'!N23</f>
        <v>0</v>
      </c>
      <c r="L41" s="147">
        <f>'Jr. Bull Riding'!N24</f>
        <v>0</v>
      </c>
      <c r="M41" s="147"/>
      <c r="N41" s="147"/>
      <c r="O41" s="147"/>
      <c r="P41" s="147"/>
      <c r="Q41" s="416"/>
      <c r="R41" s="321">
        <f t="shared" si="0"/>
        <v>432.40000000000003</v>
      </c>
      <c r="S41" s="322"/>
      <c r="T41" s="140"/>
      <c r="U41" s="140"/>
      <c r="V41" s="139"/>
      <c r="W41" s="139"/>
      <c r="X41" s="139"/>
      <c r="Y41" s="139"/>
      <c r="Z41" s="139"/>
      <c r="AA41" s="139"/>
    </row>
    <row r="42" spans="1:28" s="324" customFormat="1" ht="13.9" customHeight="1" x14ac:dyDescent="0.35">
      <c r="A42" s="417" t="s">
        <v>95</v>
      </c>
      <c r="B42" s="161">
        <f>'Sr. Breakaway'!C5</f>
        <v>36</v>
      </c>
      <c r="C42" s="148">
        <f>'Sr. Breakaway'!C6</f>
        <v>75</v>
      </c>
      <c r="D42" s="148">
        <f>'Sr. Breakaway'!E6</f>
        <v>2700</v>
      </c>
      <c r="E42" s="148">
        <f>'Sr. Breakaway'!E8:F8</f>
        <v>1000</v>
      </c>
      <c r="F42" s="148">
        <f>'Sr. Breakaway'!E10</f>
        <v>3700</v>
      </c>
      <c r="G42" s="148">
        <f>'Sr. Breakaway'!E12</f>
        <v>222</v>
      </c>
      <c r="H42" s="148">
        <f>'Sr. Breakaway'!B18</f>
        <v>1391.2</v>
      </c>
      <c r="I42" s="149">
        <f>'Sr. Breakaway'!D21</f>
        <v>556.48</v>
      </c>
      <c r="J42" s="149">
        <f>'Sr. Breakaway'!D22</f>
        <v>417.36</v>
      </c>
      <c r="K42" s="149">
        <f>'Sr. Breakaway'!D23</f>
        <v>278.24</v>
      </c>
      <c r="L42" s="149">
        <f>'Sr. Breakaway'!D24</f>
        <v>139.12</v>
      </c>
      <c r="M42" s="149">
        <f>'Sr. Breakaway'!D25</f>
        <v>0</v>
      </c>
      <c r="N42" s="149">
        <f>'Sr. Breakaway'!D26</f>
        <v>0</v>
      </c>
      <c r="O42" s="149"/>
      <c r="P42" s="149"/>
      <c r="Q42" s="418">
        <f>B42*15</f>
        <v>540</v>
      </c>
      <c r="R42" s="321">
        <f t="shared" si="0"/>
        <v>1391.1999999999998</v>
      </c>
      <c r="S42" s="322"/>
      <c r="T42" s="140"/>
      <c r="U42" s="140"/>
      <c r="V42" s="139"/>
      <c r="W42" s="139"/>
      <c r="X42" s="139"/>
      <c r="Y42" s="139"/>
      <c r="Z42" s="139"/>
      <c r="AA42" s="139"/>
    </row>
    <row r="43" spans="1:28" s="324" customFormat="1" ht="13.9" customHeight="1" x14ac:dyDescent="0.35">
      <c r="A43" s="419" t="s">
        <v>96</v>
      </c>
      <c r="B43" s="162"/>
      <c r="C43" s="150"/>
      <c r="D43" s="150"/>
      <c r="E43" s="150"/>
      <c r="F43" s="150"/>
      <c r="G43" s="150"/>
      <c r="H43" s="150">
        <f>'Sr. Breakaway'!G18</f>
        <v>695.6</v>
      </c>
      <c r="I43" s="151">
        <f>'Sr. Breakaway'!I21</f>
        <v>278.24</v>
      </c>
      <c r="J43" s="151">
        <f>'Sr. Breakaway'!I22</f>
        <v>208.68</v>
      </c>
      <c r="K43" s="151">
        <f>'Sr. Breakaway'!I23</f>
        <v>139.12</v>
      </c>
      <c r="L43" s="151">
        <f>'Sr. Breakaway'!I24</f>
        <v>69.56</v>
      </c>
      <c r="M43" s="151"/>
      <c r="N43" s="151"/>
      <c r="O43" s="151"/>
      <c r="P43" s="151"/>
      <c r="Q43" s="420"/>
      <c r="R43" s="321">
        <f t="shared" si="0"/>
        <v>695.59999999999991</v>
      </c>
      <c r="S43" s="322"/>
      <c r="T43" s="140"/>
      <c r="U43" s="140"/>
      <c r="V43" s="139"/>
      <c r="W43" s="139"/>
      <c r="X43" s="139"/>
      <c r="Y43" s="139"/>
      <c r="Z43" s="139"/>
      <c r="AA43" s="139"/>
    </row>
    <row r="44" spans="1:28" s="324" customFormat="1" ht="13.9" customHeight="1" thickBot="1" x14ac:dyDescent="0.4">
      <c r="A44" s="421" t="s">
        <v>143</v>
      </c>
      <c r="B44" s="163"/>
      <c r="C44" s="152"/>
      <c r="D44" s="152"/>
      <c r="E44" s="152"/>
      <c r="F44" s="152"/>
      <c r="G44" s="152"/>
      <c r="H44" s="152">
        <f>'Sr. Breakaway'!L18</f>
        <v>1391.2</v>
      </c>
      <c r="I44" s="153">
        <f>'Sr. Breakaway'!N21</f>
        <v>556.48</v>
      </c>
      <c r="J44" s="153">
        <f>'Sr. Breakaway'!N22</f>
        <v>417.36</v>
      </c>
      <c r="K44" s="153">
        <f>'Sr. Breakaway'!N23</f>
        <v>278.24</v>
      </c>
      <c r="L44" s="153">
        <f>'Sr. Breakaway'!N24</f>
        <v>139.12</v>
      </c>
      <c r="M44" s="153">
        <f>'Sr. Breakaway'!N25</f>
        <v>0</v>
      </c>
      <c r="N44" s="153">
        <f>'Sr. Breakaway'!N26</f>
        <v>0</v>
      </c>
      <c r="O44" s="153"/>
      <c r="P44" s="153"/>
      <c r="Q44" s="422"/>
      <c r="R44" s="321">
        <f t="shared" si="0"/>
        <v>1391.1999999999998</v>
      </c>
      <c r="S44" s="322"/>
      <c r="T44" s="140"/>
      <c r="U44" s="140"/>
      <c r="V44" s="139"/>
      <c r="W44" s="139"/>
      <c r="X44" s="139"/>
      <c r="Y44" s="139"/>
      <c r="Z44" s="139"/>
      <c r="AA44" s="139"/>
    </row>
    <row r="45" spans="1:28" s="324" customFormat="1" ht="13.9" customHeight="1" x14ac:dyDescent="0.35">
      <c r="A45" s="411" t="s">
        <v>97</v>
      </c>
      <c r="B45" s="158">
        <f>'Sr. TR Header'!C5</f>
        <v>43</v>
      </c>
      <c r="C45" s="141">
        <f>'Sr. TR Header'!C6</f>
        <v>75</v>
      </c>
      <c r="D45" s="141">
        <f>'Sr. TR Header'!E6</f>
        <v>3225</v>
      </c>
      <c r="E45" s="141">
        <f>'Sr. TR Header'!E8:F8</f>
        <v>1000</v>
      </c>
      <c r="F45" s="141">
        <f>'Sr. TR Header'!E10</f>
        <v>4225</v>
      </c>
      <c r="G45" s="141">
        <f>'Sr. TR Header'!E12</f>
        <v>253.5</v>
      </c>
      <c r="H45" s="141">
        <f>'Sr. TR Header'!B18</f>
        <v>1588.6000000000001</v>
      </c>
      <c r="I45" s="145">
        <f>'Sr. TR Header'!D21</f>
        <v>635.44000000000005</v>
      </c>
      <c r="J45" s="145">
        <f>'Sr. TR Header'!D22</f>
        <v>476.58000000000004</v>
      </c>
      <c r="K45" s="145">
        <f>'Sr. TR Header'!D23</f>
        <v>317.72000000000003</v>
      </c>
      <c r="L45" s="145">
        <f>'Sr. TR Header'!D24</f>
        <v>158.86000000000001</v>
      </c>
      <c r="M45" s="145"/>
      <c r="N45" s="145"/>
      <c r="O45" s="145"/>
      <c r="P45" s="145"/>
      <c r="Q45" s="412">
        <f>B45*15</f>
        <v>645</v>
      </c>
      <c r="R45" s="321">
        <f t="shared" si="0"/>
        <v>1588.6</v>
      </c>
      <c r="S45" s="322"/>
      <c r="T45" s="140"/>
      <c r="U45" s="140"/>
      <c r="V45" s="139"/>
      <c r="W45" s="139"/>
      <c r="X45" s="139"/>
      <c r="Y45" s="139"/>
      <c r="Z45" s="139"/>
      <c r="AA45" s="139"/>
    </row>
    <row r="46" spans="1:28" s="324" customFormat="1" ht="13.9" customHeight="1" x14ac:dyDescent="0.35">
      <c r="A46" s="413" t="s">
        <v>98</v>
      </c>
      <c r="B46" s="159"/>
      <c r="C46" s="143"/>
      <c r="D46" s="143"/>
      <c r="E46" s="143"/>
      <c r="F46" s="143"/>
      <c r="G46" s="143"/>
      <c r="H46" s="143">
        <f>'Sr. TR Header'!G18</f>
        <v>794.30000000000007</v>
      </c>
      <c r="I46" s="146">
        <f>'Sr. TR Header'!I21</f>
        <v>317.72000000000003</v>
      </c>
      <c r="J46" s="146">
        <f>'Sr. TR Header'!I22</f>
        <v>238.29000000000002</v>
      </c>
      <c r="K46" s="146">
        <f>'Sr. TR Header'!I23</f>
        <v>158.86000000000001</v>
      </c>
      <c r="L46" s="146">
        <f>'Sr. TR Header'!I24</f>
        <v>79.430000000000007</v>
      </c>
      <c r="M46" s="146"/>
      <c r="N46" s="146"/>
      <c r="O46" s="146"/>
      <c r="P46" s="146"/>
      <c r="Q46" s="414"/>
      <c r="R46" s="321">
        <f t="shared" si="0"/>
        <v>794.3</v>
      </c>
      <c r="S46" s="322"/>
      <c r="T46" s="140"/>
      <c r="U46" s="140"/>
      <c r="V46" s="139"/>
      <c r="W46" s="139"/>
      <c r="X46" s="139"/>
      <c r="Y46" s="139"/>
      <c r="Z46" s="139"/>
      <c r="AA46" s="139"/>
    </row>
    <row r="47" spans="1:28" s="324" customFormat="1" ht="13.9" customHeight="1" thickBot="1" x14ac:dyDescent="0.4">
      <c r="A47" s="423" t="s">
        <v>99</v>
      </c>
      <c r="B47" s="164"/>
      <c r="C47" s="154"/>
      <c r="D47" s="154"/>
      <c r="E47" s="154"/>
      <c r="F47" s="154"/>
      <c r="G47" s="154"/>
      <c r="H47" s="154">
        <f>'Sr. TR Header'!L18</f>
        <v>1588.6000000000001</v>
      </c>
      <c r="I47" s="155">
        <f>'Sr. TR Header'!N21</f>
        <v>635.44000000000005</v>
      </c>
      <c r="J47" s="155">
        <f>'Sr. TR Header'!N22</f>
        <v>476.58000000000004</v>
      </c>
      <c r="K47" s="155">
        <f>'Sr. TR Header'!N23</f>
        <v>317.72000000000003</v>
      </c>
      <c r="L47" s="155">
        <f>'Sr. TR Header'!N24</f>
        <v>158.86000000000001</v>
      </c>
      <c r="M47" s="155"/>
      <c r="N47" s="155"/>
      <c r="O47" s="155"/>
      <c r="P47" s="155"/>
      <c r="Q47" s="424"/>
      <c r="R47" s="321">
        <f t="shared" si="0"/>
        <v>1588.6</v>
      </c>
      <c r="S47" s="322"/>
      <c r="T47" s="140"/>
      <c r="U47" s="140"/>
      <c r="V47" s="139"/>
      <c r="W47" s="139"/>
      <c r="X47" s="139"/>
      <c r="Y47" s="139"/>
      <c r="Z47" s="139"/>
      <c r="AA47" s="139"/>
    </row>
    <row r="48" spans="1:28" s="324" customFormat="1" ht="13.9" customHeight="1" x14ac:dyDescent="0.35">
      <c r="A48" s="425" t="s">
        <v>100</v>
      </c>
      <c r="B48" s="165">
        <f>'Sr. TR Heeler'!C5</f>
        <v>43</v>
      </c>
      <c r="C48" s="156">
        <f>'Sr. TR Heeler'!C6</f>
        <v>75</v>
      </c>
      <c r="D48" s="156">
        <f>'Sr. TR Heeler'!E6</f>
        <v>3225</v>
      </c>
      <c r="E48" s="156">
        <f>'Sr. TR Heeler'!E8:F8</f>
        <v>1000</v>
      </c>
      <c r="F48" s="156">
        <f>'Sr. TR Heeler'!E10</f>
        <v>4225</v>
      </c>
      <c r="G48" s="156">
        <f>'Sr. TR Heeler'!E12</f>
        <v>253.5</v>
      </c>
      <c r="H48" s="156">
        <f>'Sr. TR Heeler'!B18</f>
        <v>1588.6000000000001</v>
      </c>
      <c r="I48" s="157">
        <f>'Sr. TR Heeler'!D21</f>
        <v>635.44000000000005</v>
      </c>
      <c r="J48" s="157">
        <f>'Sr. TR Heeler'!D22</f>
        <v>476.58000000000004</v>
      </c>
      <c r="K48" s="157">
        <f>'Sr. TR Heeler'!D23</f>
        <v>317.72000000000003</v>
      </c>
      <c r="L48" s="157">
        <f>'Sr. TR Heeler'!D24</f>
        <v>158.86000000000001</v>
      </c>
      <c r="M48" s="157"/>
      <c r="N48" s="157"/>
      <c r="O48" s="157"/>
      <c r="P48" s="157"/>
      <c r="Q48" s="426">
        <f>B48*15</f>
        <v>645</v>
      </c>
      <c r="R48" s="321">
        <f t="shared" si="0"/>
        <v>1588.6</v>
      </c>
      <c r="S48" s="322"/>
      <c r="T48" s="140"/>
      <c r="U48" s="140"/>
      <c r="V48" s="139"/>
      <c r="W48" s="139"/>
      <c r="X48" s="139"/>
      <c r="Y48" s="139"/>
      <c r="Z48" s="139"/>
      <c r="AA48" s="139"/>
    </row>
    <row r="49" spans="1:27" s="324" customFormat="1" ht="13.9" customHeight="1" x14ac:dyDescent="0.35">
      <c r="A49" s="413" t="s">
        <v>101</v>
      </c>
      <c r="B49" s="159"/>
      <c r="C49" s="143"/>
      <c r="D49" s="143"/>
      <c r="E49" s="143"/>
      <c r="F49" s="143"/>
      <c r="G49" s="143"/>
      <c r="H49" s="143">
        <f>'Sr. TR Heeler'!G18</f>
        <v>794.30000000000007</v>
      </c>
      <c r="I49" s="146">
        <f>'Sr. TR Heeler'!I21</f>
        <v>317.72000000000003</v>
      </c>
      <c r="J49" s="146">
        <f>'Sr. TR Heeler'!I22</f>
        <v>238.29000000000002</v>
      </c>
      <c r="K49" s="146">
        <f>'Sr. TR Heeler'!I23</f>
        <v>158.86000000000001</v>
      </c>
      <c r="L49" s="146">
        <f>'Sr. TR Heeler'!I24</f>
        <v>79.430000000000007</v>
      </c>
      <c r="M49" s="146"/>
      <c r="N49" s="146"/>
      <c r="O49" s="146"/>
      <c r="P49" s="146"/>
      <c r="Q49" s="414"/>
      <c r="R49" s="321">
        <f t="shared" si="0"/>
        <v>794.3</v>
      </c>
      <c r="S49" s="322"/>
      <c r="T49" s="140"/>
      <c r="U49" s="140"/>
      <c r="V49" s="139"/>
      <c r="W49" s="139"/>
      <c r="X49" s="139"/>
      <c r="Y49" s="139"/>
      <c r="Z49" s="139"/>
      <c r="AA49" s="139"/>
    </row>
    <row r="50" spans="1:27" s="324" customFormat="1" ht="13.9" customHeight="1" thickBot="1" x14ac:dyDescent="0.4">
      <c r="A50" s="415" t="s">
        <v>102</v>
      </c>
      <c r="B50" s="160"/>
      <c r="C50" s="142"/>
      <c r="D50" s="142"/>
      <c r="E50" s="142"/>
      <c r="F50" s="142"/>
      <c r="G50" s="142"/>
      <c r="H50" s="142">
        <f>'Sr. TR Heeler'!L18</f>
        <v>1588.6000000000001</v>
      </c>
      <c r="I50" s="147">
        <f>'Sr. TR Heeler'!N21</f>
        <v>10.6</v>
      </c>
      <c r="J50" s="147">
        <f>'Sr. TR Heeler'!N22</f>
        <v>10.68</v>
      </c>
      <c r="K50" s="147" t="str">
        <f>'Sr. TR Heeler'!N23</f>
        <v>NT</v>
      </c>
      <c r="L50" s="147" t="str">
        <f>'Sr. TR Heeler'!N24</f>
        <v>NT</v>
      </c>
      <c r="M50" s="147"/>
      <c r="N50" s="147"/>
      <c r="O50" s="147"/>
      <c r="P50" s="147"/>
      <c r="Q50" s="416"/>
      <c r="R50" s="321">
        <f t="shared" si="0"/>
        <v>21.28</v>
      </c>
      <c r="S50" s="322"/>
      <c r="T50" s="140"/>
      <c r="U50" s="140"/>
      <c r="V50" s="139"/>
      <c r="W50" s="139"/>
      <c r="X50" s="139"/>
      <c r="Y50" s="139"/>
      <c r="Z50" s="139"/>
      <c r="AA50" s="139"/>
    </row>
    <row r="51" spans="1:27" s="12" customFormat="1" x14ac:dyDescent="0.25">
      <c r="A51" s="14" t="s">
        <v>37</v>
      </c>
      <c r="B51" s="15">
        <f>SUM(B6:B48)</f>
        <v>515</v>
      </c>
      <c r="C51" s="16"/>
      <c r="D51" s="16">
        <f>SUM(D6:D48)</f>
        <v>44820</v>
      </c>
      <c r="E51" s="16">
        <f>SUM(E6:E50)</f>
        <v>51000</v>
      </c>
      <c r="F51" s="16">
        <f>SUM(F6:F48)</f>
        <v>83972</v>
      </c>
      <c r="G51" s="16">
        <f>SUM(G6:G48)</f>
        <v>5862</v>
      </c>
      <c r="H51" s="16">
        <f>SUM(H6:H50)</f>
        <v>91838.000000000029</v>
      </c>
      <c r="I51" s="249"/>
      <c r="J51" s="249"/>
      <c r="K51" s="249"/>
      <c r="L51" s="249"/>
      <c r="M51" s="249"/>
      <c r="N51" s="249"/>
      <c r="O51" s="249"/>
      <c r="P51" s="249"/>
      <c r="Q51" s="20">
        <f>SUM(Q6:Q48)-Q24-Q36</f>
        <v>6720</v>
      </c>
      <c r="R51" s="427">
        <f>SUM(R6:R50)</f>
        <v>89474.276000000056</v>
      </c>
      <c r="T51" s="13"/>
      <c r="U51" s="13"/>
      <c r="V51" s="13"/>
    </row>
    <row r="52" spans="1:27" s="12" customFormat="1" x14ac:dyDescent="0.25">
      <c r="A52" s="17"/>
      <c r="B52" s="18"/>
      <c r="C52" s="19"/>
      <c r="D52" s="19"/>
      <c r="E52" s="19"/>
      <c r="F52" s="19"/>
      <c r="G52" s="19"/>
      <c r="H52" s="19"/>
      <c r="I52" s="65"/>
      <c r="J52" s="65"/>
      <c r="K52" s="65"/>
      <c r="L52" s="65"/>
      <c r="M52" s="65"/>
      <c r="N52" s="65"/>
      <c r="O52" s="510" t="s">
        <v>182</v>
      </c>
      <c r="P52" s="510"/>
      <c r="Q52" s="470">
        <f>Q24+Q36</f>
        <v>201</v>
      </c>
      <c r="R52" s="300"/>
      <c r="T52" s="13"/>
      <c r="U52" s="13"/>
      <c r="V52" s="13"/>
    </row>
    <row r="53" spans="1:27" x14ac:dyDescent="0.25">
      <c r="B53" s="505"/>
      <c r="C53" s="505"/>
      <c r="D53" s="505"/>
      <c r="E53" s="6"/>
    </row>
    <row r="55" spans="1:27" x14ac:dyDescent="0.25">
      <c r="A55" s="508"/>
      <c r="B55" s="508"/>
      <c r="C55" s="508"/>
    </row>
    <row r="56" spans="1:27" x14ac:dyDescent="0.25">
      <c r="A56" s="8"/>
      <c r="B56" s="509"/>
      <c r="C56" s="509"/>
    </row>
    <row r="57" spans="1:27" x14ac:dyDescent="0.25">
      <c r="A57" s="508"/>
      <c r="B57" s="508"/>
      <c r="C57" s="508"/>
    </row>
    <row r="58" spans="1:27" x14ac:dyDescent="0.25">
      <c r="C58" s="505"/>
      <c r="D58" s="505"/>
      <c r="E58" s="6"/>
    </row>
    <row r="62" spans="1:27" x14ac:dyDescent="0.25">
      <c r="A62" s="504"/>
      <c r="B62" s="504"/>
      <c r="C62" s="504"/>
      <c r="D62" s="504"/>
      <c r="E62" s="66"/>
    </row>
    <row r="63" spans="1:27" x14ac:dyDescent="0.25">
      <c r="B63" s="2"/>
      <c r="C63" s="2"/>
      <c r="D63" s="2"/>
      <c r="E63" s="6"/>
    </row>
  </sheetData>
  <mergeCells count="10">
    <mergeCell ref="A62:D62"/>
    <mergeCell ref="B53:D53"/>
    <mergeCell ref="A2:Q2"/>
    <mergeCell ref="A3:Q3"/>
    <mergeCell ref="V33:AA33"/>
    <mergeCell ref="A55:C55"/>
    <mergeCell ref="B56:C56"/>
    <mergeCell ref="A57:C57"/>
    <mergeCell ref="C58:D58"/>
    <mergeCell ref="O52:P52"/>
  </mergeCells>
  <printOptions horizontalCentered="1"/>
  <pageMargins left="0" right="0" top="0.5" bottom="0.25" header="0.5" footer="0.5"/>
  <pageSetup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1"/>
  <sheetViews>
    <sheetView view="pageBreakPreview" zoomScaleNormal="100" zoomScaleSheetLayoutView="100" workbookViewId="0">
      <selection activeCell="N11" sqref="N11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2" style="30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.140625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4" style="30" bestFit="1" customWidth="1"/>
    <col min="15" max="15" width="9.5703125" style="30" customWidth="1"/>
    <col min="16" max="16" width="14.57031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32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46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4600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39"/>
      <c r="B7" s="39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9600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576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9024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3609.6000000000004</v>
      </c>
      <c r="G18" s="47">
        <f>E14*0.2</f>
        <v>1804.8000000000002</v>
      </c>
      <c r="I18" s="255"/>
      <c r="J18" s="255"/>
      <c r="K18" s="255"/>
      <c r="L18" s="255">
        <f>E14*0.4</f>
        <v>3609.6000000000004</v>
      </c>
      <c r="M18" s="255"/>
      <c r="N18" s="255"/>
      <c r="O18" s="255"/>
      <c r="P18" s="255">
        <f>SUM(A18:M18)</f>
        <v>9024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12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2.5" x14ac:dyDescent="0.3">
      <c r="A21" s="93">
        <v>1</v>
      </c>
      <c r="B21" s="483" t="s">
        <v>203</v>
      </c>
      <c r="C21" s="472">
        <v>2.84</v>
      </c>
      <c r="D21" s="220">
        <f>B18*0.29</f>
        <v>1046.7840000000001</v>
      </c>
      <c r="E21" s="97"/>
      <c r="F21" s="93">
        <v>1</v>
      </c>
      <c r="G21" s="71" t="s">
        <v>201</v>
      </c>
      <c r="H21" s="92">
        <v>2.78</v>
      </c>
      <c r="I21" s="220">
        <f>G18*0.4</f>
        <v>721.92000000000007</v>
      </c>
      <c r="J21" s="278"/>
      <c r="K21" s="312">
        <v>1</v>
      </c>
      <c r="L21" s="483" t="s">
        <v>201</v>
      </c>
      <c r="M21" s="472">
        <v>5.99</v>
      </c>
      <c r="N21" s="220">
        <v>1046.7840000000001</v>
      </c>
      <c r="O21" s="276"/>
      <c r="P21" s="285"/>
      <c r="Q21" s="310"/>
      <c r="R21" s="246"/>
      <c r="S21" s="238"/>
    </row>
    <row r="22" spans="1:19" s="48" customFormat="1" ht="24" x14ac:dyDescent="0.3">
      <c r="A22" s="111">
        <v>2</v>
      </c>
      <c r="B22" s="483" t="s">
        <v>206</v>
      </c>
      <c r="C22" s="472">
        <v>3</v>
      </c>
      <c r="D22" s="115">
        <f>B18*0.24</f>
        <v>866.30400000000009</v>
      </c>
      <c r="E22" s="113"/>
      <c r="F22" s="84">
        <v>2</v>
      </c>
      <c r="G22" s="73" t="s">
        <v>202</v>
      </c>
      <c r="H22" s="75">
        <v>3.02</v>
      </c>
      <c r="I22" s="115">
        <f>G18*0.3</f>
        <v>541.44000000000005</v>
      </c>
      <c r="J22" s="282"/>
      <c r="K22" s="101">
        <v>2</v>
      </c>
      <c r="L22" s="483" t="s">
        <v>202</v>
      </c>
      <c r="M22" s="472">
        <v>6.51</v>
      </c>
      <c r="N22" s="115">
        <v>866.30400000000009</v>
      </c>
      <c r="O22" s="280"/>
      <c r="P22" s="285"/>
      <c r="Q22" s="310"/>
      <c r="R22" s="246"/>
      <c r="S22" s="238"/>
    </row>
    <row r="23" spans="1:19" s="48" customFormat="1" ht="22.5" x14ac:dyDescent="0.3">
      <c r="A23" s="111">
        <v>3</v>
      </c>
      <c r="B23" s="483" t="s">
        <v>207</v>
      </c>
      <c r="C23" s="472">
        <v>3.03</v>
      </c>
      <c r="D23" s="115">
        <f>B18*0.19</f>
        <v>685.82400000000007</v>
      </c>
      <c r="E23" s="114"/>
      <c r="F23" s="84">
        <v>3</v>
      </c>
      <c r="G23" s="73" t="s">
        <v>203</v>
      </c>
      <c r="H23" s="75">
        <v>4.79</v>
      </c>
      <c r="I23" s="115">
        <f>G18*0.2</f>
        <v>360.96000000000004</v>
      </c>
      <c r="J23" s="282"/>
      <c r="K23" s="101">
        <v>3</v>
      </c>
      <c r="L23" s="483" t="s">
        <v>203</v>
      </c>
      <c r="M23" s="472">
        <v>7.63</v>
      </c>
      <c r="N23" s="115">
        <v>685.82400000000007</v>
      </c>
      <c r="O23" s="280"/>
      <c r="P23" s="285"/>
      <c r="Q23" s="310"/>
      <c r="R23" s="246"/>
      <c r="S23" s="238"/>
    </row>
    <row r="24" spans="1:19" s="48" customFormat="1" ht="24" x14ac:dyDescent="0.3">
      <c r="A24" s="84">
        <v>4</v>
      </c>
      <c r="B24" s="483" t="s">
        <v>208</v>
      </c>
      <c r="C24" s="472">
        <v>3.15</v>
      </c>
      <c r="D24" s="115">
        <f>B18*0.14</f>
        <v>505.34400000000011</v>
      </c>
      <c r="E24" s="100"/>
      <c r="F24" s="84">
        <v>4</v>
      </c>
      <c r="G24" s="73" t="s">
        <v>258</v>
      </c>
      <c r="H24" s="75" t="s">
        <v>196</v>
      </c>
      <c r="I24" s="115">
        <f>G18*0.1</f>
        <v>180.48000000000002</v>
      </c>
      <c r="J24" s="282"/>
      <c r="K24" s="315">
        <v>4</v>
      </c>
      <c r="L24" s="483" t="s">
        <v>206</v>
      </c>
      <c r="M24" s="472">
        <v>3</v>
      </c>
      <c r="N24" s="115">
        <v>505.34400000000011</v>
      </c>
      <c r="O24" s="286"/>
      <c r="P24" s="285"/>
      <c r="Q24" s="310"/>
      <c r="R24" s="246"/>
      <c r="S24" s="238"/>
    </row>
    <row r="25" spans="1:19" s="48" customFormat="1" ht="22.5" x14ac:dyDescent="0.3">
      <c r="A25" s="84">
        <v>5</v>
      </c>
      <c r="B25" s="483" t="s">
        <v>201</v>
      </c>
      <c r="C25" s="472">
        <v>3.21</v>
      </c>
      <c r="D25" s="115">
        <f>B18*0.09</f>
        <v>324.86400000000003</v>
      </c>
      <c r="E25" s="100"/>
      <c r="F25" s="84">
        <v>5</v>
      </c>
      <c r="G25" s="73"/>
      <c r="H25" s="75"/>
      <c r="I25" s="115"/>
      <c r="J25" s="282"/>
      <c r="K25" s="315">
        <v>5</v>
      </c>
      <c r="L25" s="483" t="s">
        <v>207</v>
      </c>
      <c r="M25" s="472">
        <v>3.03</v>
      </c>
      <c r="N25" s="115">
        <v>324.86400000000003</v>
      </c>
      <c r="O25" s="280"/>
      <c r="P25" s="285"/>
      <c r="Q25" s="310"/>
      <c r="R25" s="246"/>
      <c r="S25" s="238"/>
    </row>
    <row r="26" spans="1:19" s="48" customFormat="1" ht="22.5" x14ac:dyDescent="0.3">
      <c r="A26" s="84">
        <v>6</v>
      </c>
      <c r="B26" s="483" t="s">
        <v>209</v>
      </c>
      <c r="C26" s="472">
        <v>3.26</v>
      </c>
      <c r="D26" s="115">
        <f>B18*0.05</f>
        <v>180.48000000000002</v>
      </c>
      <c r="E26" s="100"/>
      <c r="F26" s="84">
        <v>6</v>
      </c>
      <c r="G26" s="73"/>
      <c r="H26" s="73"/>
      <c r="I26" s="115"/>
      <c r="J26" s="282"/>
      <c r="K26" s="101">
        <v>6</v>
      </c>
      <c r="L26" s="483" t="s">
        <v>208</v>
      </c>
      <c r="M26" s="472">
        <v>3.15</v>
      </c>
      <c r="N26" s="48">
        <v>180.48000000000002</v>
      </c>
      <c r="O26" s="280"/>
      <c r="P26" s="285"/>
      <c r="Q26" s="310"/>
      <c r="R26" s="246"/>
      <c r="S26" s="238"/>
    </row>
    <row r="27" spans="1:19" s="48" customFormat="1" ht="24" x14ac:dyDescent="0.3">
      <c r="A27" s="84">
        <v>7</v>
      </c>
      <c r="B27" s="483" t="s">
        <v>210</v>
      </c>
      <c r="C27" s="472">
        <v>3.41</v>
      </c>
      <c r="D27" s="115"/>
      <c r="E27" s="100"/>
      <c r="F27" s="84">
        <v>7</v>
      </c>
      <c r="G27" s="73"/>
      <c r="H27" s="73"/>
      <c r="I27" s="223"/>
      <c r="J27" s="282"/>
      <c r="K27" s="101">
        <v>7</v>
      </c>
      <c r="L27" s="483" t="s">
        <v>209</v>
      </c>
      <c r="M27" s="472">
        <v>3.26</v>
      </c>
      <c r="N27" s="223"/>
      <c r="O27" s="280"/>
      <c r="P27" s="279"/>
      <c r="Q27" s="310"/>
      <c r="R27" s="246"/>
      <c r="S27" s="238"/>
    </row>
    <row r="28" spans="1:19" s="48" customFormat="1" ht="24" x14ac:dyDescent="0.3">
      <c r="A28" s="84">
        <v>8</v>
      </c>
      <c r="B28" s="483" t="s">
        <v>202</v>
      </c>
      <c r="C28" s="472">
        <v>3.49</v>
      </c>
      <c r="D28" s="115"/>
      <c r="E28" s="100"/>
      <c r="F28" s="84">
        <v>8</v>
      </c>
      <c r="G28" s="73"/>
      <c r="H28" s="73"/>
      <c r="I28" s="223"/>
      <c r="J28" s="282"/>
      <c r="K28" s="101">
        <v>8</v>
      </c>
      <c r="L28" s="483" t="s">
        <v>210</v>
      </c>
      <c r="M28" s="472">
        <v>3.41</v>
      </c>
      <c r="N28" s="223"/>
      <c r="O28" s="280"/>
      <c r="P28" s="279"/>
      <c r="Q28" s="310"/>
      <c r="R28" s="246"/>
      <c r="S28" s="238"/>
    </row>
    <row r="29" spans="1:19" s="48" customFormat="1" ht="24" x14ac:dyDescent="0.3">
      <c r="A29" s="84">
        <v>9</v>
      </c>
      <c r="B29" s="483" t="s">
        <v>205</v>
      </c>
      <c r="C29" s="472">
        <v>4.5199999999999996</v>
      </c>
      <c r="D29" s="115"/>
      <c r="E29" s="100"/>
      <c r="F29" s="84">
        <v>9</v>
      </c>
      <c r="G29" s="73"/>
      <c r="H29" s="73"/>
      <c r="I29" s="223"/>
      <c r="J29" s="282"/>
      <c r="K29" s="101">
        <v>9</v>
      </c>
      <c r="L29" s="483" t="s">
        <v>205</v>
      </c>
      <c r="M29" s="472">
        <v>4.5199999999999996</v>
      </c>
      <c r="N29" s="223"/>
      <c r="O29" s="280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483" t="s">
        <v>204</v>
      </c>
      <c r="C30" s="472">
        <v>12.36</v>
      </c>
      <c r="D30" s="221"/>
      <c r="E30" s="100"/>
      <c r="F30" s="84">
        <v>10</v>
      </c>
      <c r="G30" s="73"/>
      <c r="H30" s="73"/>
      <c r="I30" s="223"/>
      <c r="J30" s="282"/>
      <c r="K30" s="101">
        <v>10</v>
      </c>
      <c r="L30" s="483" t="s">
        <v>204</v>
      </c>
      <c r="M30" s="472">
        <v>12.36</v>
      </c>
      <c r="N30" s="223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116"/>
      <c r="C31" s="76"/>
      <c r="D31" s="77"/>
      <c r="E31" s="100"/>
      <c r="F31" s="84">
        <v>11</v>
      </c>
      <c r="G31" s="117"/>
      <c r="H31" s="117"/>
      <c r="I31" s="224"/>
      <c r="J31" s="280"/>
      <c r="K31" s="101">
        <v>11</v>
      </c>
      <c r="N31" s="115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19" ht="15.75" x14ac:dyDescent="0.25">
      <c r="D33" s="49">
        <f>SUM(D21:D32)</f>
        <v>3609.6000000000004</v>
      </c>
      <c r="F33" s="31"/>
      <c r="I33" s="271">
        <f>SUM(I21:I32)</f>
        <v>1804.8000000000002</v>
      </c>
      <c r="J33" s="271"/>
      <c r="K33" s="271"/>
      <c r="L33" s="271"/>
      <c r="M33" s="271"/>
      <c r="N33" s="271">
        <f>SUM(N21:N32)</f>
        <v>3609.6000000000004</v>
      </c>
      <c r="O33" s="271"/>
      <c r="P33" s="271">
        <f>SUM(D33:N33)</f>
        <v>9024</v>
      </c>
      <c r="Q33" s="248"/>
      <c r="R33" s="244"/>
      <c r="S33" s="238"/>
    </row>
    <row r="34" spans="1:19" s="50" customFormat="1" ht="12.75" customHeight="1" x14ac:dyDescent="0.2">
      <c r="C34" s="50" t="s">
        <v>20</v>
      </c>
      <c r="I34" s="271"/>
      <c r="J34" s="271"/>
      <c r="K34" s="271"/>
      <c r="L34" s="271"/>
      <c r="M34" s="271"/>
      <c r="N34" s="271"/>
      <c r="O34" s="271"/>
      <c r="P34" s="271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3:B3"/>
    <mergeCell ref="A5:B5"/>
    <mergeCell ref="A6:B6"/>
    <mergeCell ref="E6:F6"/>
    <mergeCell ref="A1:B1"/>
    <mergeCell ref="C1:I1"/>
    <mergeCell ref="A38:O38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1"/>
  <sheetViews>
    <sheetView view="pageBreakPreview" zoomScaleNormal="100" zoomScaleSheetLayoutView="100" workbookViewId="0">
      <selection sqref="A1:O27"/>
    </sheetView>
  </sheetViews>
  <sheetFormatPr defaultColWidth="9.140625" defaultRowHeight="12.75" x14ac:dyDescent="0.2"/>
  <cols>
    <col min="1" max="1" width="6" style="168" customWidth="1"/>
    <col min="2" max="2" width="23.7109375" style="168" customWidth="1"/>
    <col min="3" max="3" width="9.28515625" style="168" customWidth="1"/>
    <col min="4" max="4" width="12" style="168" bestFit="1" customWidth="1"/>
    <col min="5" max="5" width="9.5703125" style="168" customWidth="1"/>
    <col min="6" max="6" width="6" style="168" customWidth="1"/>
    <col min="7" max="7" width="23.7109375" style="168" customWidth="1"/>
    <col min="8" max="8" width="9.28515625" style="168" customWidth="1"/>
    <col min="9" max="9" width="12" style="168" bestFit="1" customWidth="1"/>
    <col min="10" max="10" width="9.5703125" style="168" customWidth="1"/>
    <col min="11" max="11" width="6" style="168" customWidth="1"/>
    <col min="12" max="12" width="23.7109375" style="168" customWidth="1"/>
    <col min="13" max="13" width="9.28515625" style="168" customWidth="1"/>
    <col min="14" max="14" width="12" style="168" bestFit="1" customWidth="1"/>
    <col min="15" max="15" width="9.5703125" style="168" customWidth="1"/>
    <col min="16" max="16" width="13.140625" style="168" bestFit="1" customWidth="1"/>
    <col min="17" max="17" width="9.140625" style="210"/>
    <col min="18" max="18" width="9.140625" style="213"/>
    <col min="19" max="16384" width="9.140625" style="168"/>
  </cols>
  <sheetData>
    <row r="1" spans="1:19" s="166" customFormat="1" ht="22.5" x14ac:dyDescent="0.3">
      <c r="A1" s="532" t="s">
        <v>43</v>
      </c>
      <c r="B1" s="532"/>
      <c r="C1" s="533" t="s">
        <v>184</v>
      </c>
      <c r="D1" s="533"/>
      <c r="E1" s="533"/>
      <c r="F1" s="533"/>
      <c r="G1" s="533"/>
      <c r="H1" s="533"/>
      <c r="K1" s="167"/>
      <c r="L1" s="225"/>
      <c r="M1" s="534"/>
      <c r="N1" s="534"/>
      <c r="O1" s="534"/>
      <c r="Q1" s="303"/>
      <c r="R1" s="301"/>
    </row>
    <row r="2" spans="1:19" x14ac:dyDescent="0.2">
      <c r="K2" s="169"/>
      <c r="L2" s="170"/>
      <c r="M2" s="171"/>
      <c r="N2" s="170"/>
      <c r="O2" s="169"/>
    </row>
    <row r="3" spans="1:19" ht="25.5" x14ac:dyDescent="0.35">
      <c r="A3" s="535" t="s">
        <v>0</v>
      </c>
      <c r="B3" s="526"/>
      <c r="C3" s="172" t="s">
        <v>109</v>
      </c>
      <c r="D3" s="173"/>
      <c r="E3" s="173"/>
      <c r="F3" s="173"/>
      <c r="G3" s="173"/>
      <c r="H3" s="174"/>
      <c r="I3" s="174"/>
      <c r="J3" s="174"/>
      <c r="K3" s="169"/>
      <c r="L3" s="170"/>
      <c r="M3" s="171"/>
      <c r="N3" s="170"/>
      <c r="O3" s="175"/>
    </row>
    <row r="4" spans="1:19" ht="16.5" thickBot="1" x14ac:dyDescent="0.3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69"/>
      <c r="L4" s="170"/>
      <c r="M4" s="171"/>
      <c r="N4" s="170"/>
      <c r="O4" s="175"/>
    </row>
    <row r="5" spans="1:19" ht="16.5" thickBot="1" x14ac:dyDescent="0.3">
      <c r="A5" s="526" t="s">
        <v>1</v>
      </c>
      <c r="B5" s="527"/>
      <c r="C5" s="176">
        <v>36</v>
      </c>
      <c r="D5" s="174"/>
      <c r="E5" s="174"/>
      <c r="F5" s="174"/>
      <c r="G5" s="174"/>
      <c r="H5" s="174"/>
      <c r="I5" s="174"/>
      <c r="J5" s="174"/>
      <c r="K5" s="177"/>
      <c r="L5" s="170"/>
      <c r="M5" s="171"/>
      <c r="N5" s="170"/>
      <c r="O5" s="175"/>
    </row>
    <row r="6" spans="1:19" ht="16.5" thickBot="1" x14ac:dyDescent="0.3">
      <c r="A6" s="526" t="s">
        <v>2</v>
      </c>
      <c r="B6" s="526"/>
      <c r="C6" s="38">
        <v>75</v>
      </c>
      <c r="D6" s="178" t="s">
        <v>3</v>
      </c>
      <c r="E6" s="515">
        <f>SUM(C5*C6)</f>
        <v>2700</v>
      </c>
      <c r="F6" s="529"/>
      <c r="G6" s="174"/>
      <c r="H6" s="174"/>
      <c r="I6" s="250"/>
      <c r="J6" s="250"/>
      <c r="K6" s="251"/>
      <c r="L6" s="251"/>
      <c r="M6" s="251"/>
      <c r="N6" s="251"/>
      <c r="O6" s="251"/>
      <c r="P6" s="252"/>
      <c r="Q6" s="304"/>
      <c r="R6" s="240"/>
      <c r="S6" s="236"/>
    </row>
    <row r="7" spans="1:19" ht="16.5" thickBot="1" x14ac:dyDescent="0.3">
      <c r="A7" s="179"/>
      <c r="B7" s="179"/>
      <c r="C7" s="40"/>
      <c r="D7" s="178"/>
      <c r="E7" s="41"/>
      <c r="F7" s="180"/>
      <c r="G7" s="174"/>
      <c r="H7" s="174"/>
      <c r="I7" s="250"/>
      <c r="J7" s="250"/>
      <c r="K7" s="251"/>
      <c r="L7" s="251"/>
      <c r="M7" s="251"/>
      <c r="N7" s="251"/>
      <c r="O7" s="251"/>
      <c r="P7" s="252"/>
      <c r="Q7" s="304"/>
      <c r="R7" s="240"/>
      <c r="S7" s="236"/>
    </row>
    <row r="8" spans="1:19" ht="16.5" thickBot="1" x14ac:dyDescent="0.3">
      <c r="A8" s="526" t="s">
        <v>4</v>
      </c>
      <c r="B8" s="527"/>
      <c r="C8" s="181"/>
      <c r="D8" s="174"/>
      <c r="E8" s="528">
        <v>1000</v>
      </c>
      <c r="F8" s="529"/>
      <c r="G8" s="174"/>
      <c r="H8" s="174"/>
      <c r="I8" s="250"/>
      <c r="J8" s="250"/>
      <c r="K8" s="251"/>
      <c r="L8" s="254"/>
      <c r="M8" s="251"/>
      <c r="N8" s="251"/>
      <c r="O8" s="251"/>
      <c r="P8" s="252"/>
      <c r="Q8" s="304"/>
      <c r="R8" s="240"/>
      <c r="S8" s="236"/>
    </row>
    <row r="9" spans="1:19" ht="16.5" thickBot="1" x14ac:dyDescent="0.3">
      <c r="A9" s="179"/>
      <c r="B9" s="174"/>
      <c r="C9" s="174"/>
      <c r="D9" s="174"/>
      <c r="E9" s="174"/>
      <c r="F9" s="174"/>
      <c r="G9" s="174"/>
      <c r="H9" s="174"/>
      <c r="I9" s="250"/>
      <c r="J9" s="250"/>
      <c r="K9" s="251"/>
      <c r="L9" s="251"/>
      <c r="M9" s="251"/>
      <c r="N9" s="251"/>
      <c r="O9" s="251"/>
      <c r="P9" s="252"/>
      <c r="Q9" s="304"/>
      <c r="R9" s="240"/>
      <c r="S9" s="236"/>
    </row>
    <row r="10" spans="1:19" ht="16.5" thickBot="1" x14ac:dyDescent="0.3">
      <c r="A10" s="526" t="s">
        <v>5</v>
      </c>
      <c r="B10" s="527"/>
      <c r="C10" s="174"/>
      <c r="D10" s="174"/>
      <c r="E10" s="528">
        <f>E6+E8</f>
        <v>3700</v>
      </c>
      <c r="F10" s="529"/>
      <c r="G10" s="174"/>
      <c r="H10" s="174"/>
      <c r="I10" s="250"/>
      <c r="J10" s="250"/>
      <c r="K10" s="251"/>
      <c r="L10" s="251"/>
      <c r="M10" s="251"/>
      <c r="N10" s="251"/>
      <c r="O10" s="251"/>
      <c r="P10" s="252"/>
      <c r="Q10" s="304"/>
      <c r="R10" s="240"/>
      <c r="S10" s="236"/>
    </row>
    <row r="11" spans="1:19" ht="16.5" thickBot="1" x14ac:dyDescent="0.3">
      <c r="A11" s="179"/>
      <c r="B11" s="174"/>
      <c r="C11" s="174"/>
      <c r="D11" s="174"/>
      <c r="E11" s="174"/>
      <c r="F11" s="174"/>
      <c r="G11" s="174"/>
      <c r="H11" s="174"/>
      <c r="I11" s="250"/>
      <c r="J11" s="250"/>
      <c r="K11" s="251"/>
      <c r="L11" s="251"/>
      <c r="M11" s="251"/>
      <c r="N11" s="251"/>
      <c r="O11" s="251"/>
      <c r="P11" s="252"/>
      <c r="Q11" s="304"/>
      <c r="R11" s="240"/>
      <c r="S11" s="236"/>
    </row>
    <row r="12" spans="1:19" ht="16.5" thickBot="1" x14ac:dyDescent="0.3">
      <c r="A12" s="526" t="s">
        <v>6</v>
      </c>
      <c r="B12" s="527"/>
      <c r="C12" s="181">
        <v>0.06</v>
      </c>
      <c r="D12" s="174"/>
      <c r="E12" s="515">
        <f>E10*0.06</f>
        <v>222</v>
      </c>
      <c r="F12" s="522"/>
      <c r="G12" s="174"/>
      <c r="H12" s="174"/>
      <c r="I12" s="250"/>
      <c r="J12" s="250"/>
      <c r="K12" s="251"/>
      <c r="L12" s="251"/>
      <c r="M12" s="251"/>
      <c r="N12" s="251"/>
      <c r="O12" s="251"/>
      <c r="P12" s="252"/>
      <c r="Q12" s="304"/>
      <c r="R12" s="240"/>
      <c r="S12" s="236"/>
    </row>
    <row r="13" spans="1:19" ht="16.5" thickBot="1" x14ac:dyDescent="0.3">
      <c r="A13" s="179"/>
      <c r="B13" s="174"/>
      <c r="C13" s="174"/>
      <c r="D13" s="174"/>
      <c r="E13" s="183"/>
      <c r="F13" s="183"/>
      <c r="G13" s="174"/>
      <c r="H13" s="174"/>
      <c r="I13" s="250"/>
      <c r="J13" s="250"/>
      <c r="K13" s="251"/>
      <c r="L13" s="251"/>
      <c r="M13" s="251"/>
      <c r="N13" s="251"/>
      <c r="O13" s="251"/>
      <c r="P13" s="252"/>
      <c r="Q13" s="304"/>
      <c r="R13" s="240"/>
      <c r="S13" s="236"/>
    </row>
    <row r="14" spans="1:19" ht="16.5" thickBot="1" x14ac:dyDescent="0.3">
      <c r="A14" s="526" t="s">
        <v>7</v>
      </c>
      <c r="B14" s="527"/>
      <c r="C14" s="174"/>
      <c r="D14" s="174"/>
      <c r="E14" s="528">
        <f>E10-E12</f>
        <v>3478</v>
      </c>
      <c r="F14" s="529"/>
      <c r="G14" s="174"/>
      <c r="H14" s="174"/>
      <c r="I14" s="250"/>
      <c r="J14" s="250"/>
      <c r="K14" s="251"/>
      <c r="L14" s="251"/>
      <c r="M14" s="251"/>
      <c r="N14" s="251"/>
      <c r="O14" s="251"/>
      <c r="P14" s="252"/>
      <c r="Q14" s="304"/>
      <c r="R14" s="240"/>
      <c r="S14" s="236"/>
    </row>
    <row r="15" spans="1:19" ht="15.75" x14ac:dyDescent="0.25">
      <c r="A15" s="179"/>
      <c r="B15" s="174"/>
      <c r="C15" s="174"/>
      <c r="D15" s="174"/>
      <c r="E15" s="174"/>
      <c r="F15" s="174"/>
      <c r="G15" s="174"/>
      <c r="H15" s="174"/>
      <c r="I15" s="250"/>
      <c r="J15" s="250"/>
      <c r="K15" s="251"/>
      <c r="L15" s="251"/>
      <c r="M15" s="251"/>
      <c r="N15" s="251"/>
      <c r="O15" s="251"/>
      <c r="P15" s="252"/>
      <c r="Q15" s="304"/>
      <c r="R15" s="240"/>
      <c r="S15" s="236"/>
    </row>
    <row r="16" spans="1:19" ht="15.75" x14ac:dyDescent="0.25">
      <c r="A16" s="179"/>
      <c r="B16" s="179"/>
      <c r="C16" s="179"/>
      <c r="D16" s="179"/>
      <c r="E16" s="179"/>
      <c r="F16" s="179"/>
      <c r="G16" s="179"/>
      <c r="H16" s="179"/>
      <c r="I16" s="250"/>
      <c r="J16" s="250"/>
      <c r="K16" s="250"/>
      <c r="L16" s="250"/>
      <c r="M16" s="250"/>
      <c r="N16" s="250"/>
      <c r="O16" s="250"/>
      <c r="P16" s="252"/>
      <c r="Q16" s="304"/>
      <c r="R16" s="240"/>
      <c r="S16" s="236"/>
    </row>
    <row r="17" spans="1:19" ht="15.75" x14ac:dyDescent="0.25">
      <c r="A17" s="184" t="s">
        <v>33</v>
      </c>
      <c r="B17" s="174"/>
      <c r="C17" s="174"/>
      <c r="D17" s="174"/>
      <c r="E17" s="174"/>
      <c r="F17" s="184" t="s">
        <v>8</v>
      </c>
      <c r="G17" s="174"/>
      <c r="H17" s="174"/>
      <c r="I17" s="250"/>
      <c r="J17" s="250"/>
      <c r="K17" s="250" t="s">
        <v>9</v>
      </c>
      <c r="L17" s="250"/>
      <c r="M17" s="250"/>
      <c r="N17" s="250"/>
      <c r="O17" s="250"/>
      <c r="P17" s="252"/>
      <c r="Q17" s="304"/>
      <c r="R17" s="240"/>
      <c r="S17" s="236"/>
    </row>
    <row r="18" spans="1:19" s="47" customFormat="1" ht="18" x14ac:dyDescent="0.25">
      <c r="B18" s="47">
        <f>E14*0.4</f>
        <v>1391.2</v>
      </c>
      <c r="G18" s="47">
        <f>E14*0.2</f>
        <v>695.6</v>
      </c>
      <c r="I18" s="255"/>
      <c r="J18" s="255"/>
      <c r="K18" s="255"/>
      <c r="L18" s="255">
        <f>E14*0.4</f>
        <v>1391.2</v>
      </c>
      <c r="M18" s="255"/>
      <c r="N18" s="255"/>
      <c r="O18" s="255"/>
      <c r="P18" s="255">
        <f>SUM(A18:M18)</f>
        <v>3478</v>
      </c>
      <c r="Q18" s="305"/>
      <c r="R18" s="241"/>
      <c r="S18" s="236"/>
    </row>
    <row r="19" spans="1:19" ht="15.75" x14ac:dyDescent="0.25">
      <c r="A19" s="174"/>
      <c r="B19" s="174"/>
      <c r="C19" s="174"/>
      <c r="D19" s="174"/>
      <c r="E19" s="174"/>
      <c r="F19" s="174"/>
      <c r="G19" s="174"/>
      <c r="H19" s="174"/>
      <c r="I19" s="250"/>
      <c r="J19" s="250"/>
      <c r="K19" s="250"/>
      <c r="L19" s="250"/>
      <c r="M19" s="250"/>
      <c r="N19" s="250"/>
      <c r="O19" s="250"/>
      <c r="P19" s="252"/>
      <c r="Q19" s="304"/>
      <c r="R19" s="240"/>
      <c r="S19" s="236"/>
    </row>
    <row r="20" spans="1:19" s="187" customFormat="1" ht="31.5" x14ac:dyDescent="0.25">
      <c r="A20" s="185" t="s">
        <v>10</v>
      </c>
      <c r="B20" s="185" t="s">
        <v>11</v>
      </c>
      <c r="C20" s="185" t="s">
        <v>12</v>
      </c>
      <c r="D20" s="186" t="s">
        <v>13</v>
      </c>
      <c r="E20" s="185" t="s">
        <v>14</v>
      </c>
      <c r="F20" s="185" t="s">
        <v>10</v>
      </c>
      <c r="G20" s="185" t="s">
        <v>11</v>
      </c>
      <c r="H20" s="185" t="s">
        <v>12</v>
      </c>
      <c r="I20" s="256" t="s">
        <v>13</v>
      </c>
      <c r="J20" s="257" t="s">
        <v>14</v>
      </c>
      <c r="K20" s="257" t="s">
        <v>10</v>
      </c>
      <c r="L20" s="257" t="s">
        <v>11</v>
      </c>
      <c r="M20" s="257" t="s">
        <v>12</v>
      </c>
      <c r="N20" s="256" t="s">
        <v>13</v>
      </c>
      <c r="O20" s="257" t="s">
        <v>14</v>
      </c>
      <c r="P20" s="258"/>
      <c r="Q20" s="306"/>
      <c r="R20" s="242"/>
      <c r="S20" s="236"/>
    </row>
    <row r="21" spans="1:19" s="191" customFormat="1" ht="22.5" x14ac:dyDescent="0.2">
      <c r="A21" s="207">
        <v>1</v>
      </c>
      <c r="B21" s="483" t="s">
        <v>214</v>
      </c>
      <c r="C21" s="472">
        <v>2.2599999999999998</v>
      </c>
      <c r="D21" s="115">
        <f>B18*0.4</f>
        <v>556.48</v>
      </c>
      <c r="E21" s="190"/>
      <c r="F21" s="188">
        <v>1</v>
      </c>
      <c r="G21" s="483" t="s">
        <v>211</v>
      </c>
      <c r="H21" s="489">
        <v>2.4300000000000002</v>
      </c>
      <c r="I21" s="220">
        <f>G18*0.4</f>
        <v>278.24</v>
      </c>
      <c r="J21" s="259"/>
      <c r="K21" s="313">
        <v>1</v>
      </c>
      <c r="L21" s="260" t="s">
        <v>211</v>
      </c>
      <c r="M21" s="477">
        <v>5.24</v>
      </c>
      <c r="N21" s="220">
        <f>L18*0.4</f>
        <v>556.48</v>
      </c>
      <c r="O21" s="259"/>
      <c r="P21" s="261"/>
      <c r="Q21" s="307"/>
      <c r="R21" s="237"/>
      <c r="S21" s="236"/>
    </row>
    <row r="22" spans="1:19" s="191" customFormat="1" ht="24" x14ac:dyDescent="0.2">
      <c r="A22" s="207">
        <f>A21+1</f>
        <v>2</v>
      </c>
      <c r="B22" s="483" t="s">
        <v>215</v>
      </c>
      <c r="C22" s="472">
        <v>2.41</v>
      </c>
      <c r="D22" s="115">
        <f>B18*0.3</f>
        <v>417.36</v>
      </c>
      <c r="E22" s="195"/>
      <c r="F22" s="192">
        <v>2</v>
      </c>
      <c r="G22" s="483" t="s">
        <v>212</v>
      </c>
      <c r="H22" s="489">
        <v>3.77</v>
      </c>
      <c r="I22" s="115">
        <f>G18*0.3</f>
        <v>208.68</v>
      </c>
      <c r="J22" s="262"/>
      <c r="K22" s="314">
        <v>2</v>
      </c>
      <c r="L22" s="263" t="s">
        <v>212</v>
      </c>
      <c r="M22" s="478">
        <v>6.77</v>
      </c>
      <c r="N22" s="115">
        <f>L18*0.3</f>
        <v>417.36</v>
      </c>
      <c r="O22" s="262"/>
      <c r="P22" s="261"/>
      <c r="Q22" s="307"/>
      <c r="R22" s="237"/>
      <c r="S22" s="236"/>
    </row>
    <row r="23" spans="1:19" s="191" customFormat="1" ht="22.5" x14ac:dyDescent="0.2">
      <c r="A23" s="207">
        <f t="shared" ref="A23:A32" si="0">A22+1</f>
        <v>3</v>
      </c>
      <c r="B23" s="483" t="s">
        <v>213</v>
      </c>
      <c r="C23" s="472">
        <v>2.59</v>
      </c>
      <c r="D23" s="115">
        <f>B18*0.2</f>
        <v>278.24</v>
      </c>
      <c r="E23" s="195"/>
      <c r="F23" s="192">
        <v>3</v>
      </c>
      <c r="G23" s="483" t="s">
        <v>213</v>
      </c>
      <c r="H23" s="489">
        <v>4.26</v>
      </c>
      <c r="I23" s="115">
        <f>G18*0.2</f>
        <v>139.12</v>
      </c>
      <c r="J23" s="262"/>
      <c r="K23" s="314">
        <v>3</v>
      </c>
      <c r="L23" s="263" t="s">
        <v>213</v>
      </c>
      <c r="M23" s="478">
        <v>6.85</v>
      </c>
      <c r="N23" s="115">
        <f>L18*0.2</f>
        <v>278.24</v>
      </c>
      <c r="O23" s="262"/>
      <c r="P23" s="261"/>
      <c r="Q23" s="307"/>
      <c r="R23" s="237"/>
      <c r="S23" s="236"/>
    </row>
    <row r="24" spans="1:19" s="191" customFormat="1" ht="22.5" x14ac:dyDescent="0.2">
      <c r="A24" s="207">
        <f t="shared" si="0"/>
        <v>4</v>
      </c>
      <c r="B24" s="483" t="s">
        <v>211</v>
      </c>
      <c r="C24" s="472">
        <v>2.81</v>
      </c>
      <c r="D24" s="115">
        <f>B18*0.1</f>
        <v>139.12</v>
      </c>
      <c r="E24" s="195"/>
      <c r="F24" s="192">
        <v>4</v>
      </c>
      <c r="G24" s="198"/>
      <c r="H24" s="198"/>
      <c r="I24" s="115">
        <f>G18*0.1</f>
        <v>69.56</v>
      </c>
      <c r="J24" s="262"/>
      <c r="K24" s="314">
        <v>4</v>
      </c>
      <c r="L24" s="263" t="s">
        <v>214</v>
      </c>
      <c r="M24" s="478">
        <v>2.2599999999999998</v>
      </c>
      <c r="N24" s="115">
        <f>L18*0.1</f>
        <v>139.12</v>
      </c>
      <c r="O24" s="262"/>
      <c r="P24" s="261"/>
      <c r="Q24" s="307"/>
      <c r="R24" s="237"/>
      <c r="S24" s="236"/>
    </row>
    <row r="25" spans="1:19" s="191" customFormat="1" ht="22.5" x14ac:dyDescent="0.2">
      <c r="A25" s="207">
        <f t="shared" si="0"/>
        <v>5</v>
      </c>
      <c r="B25" s="198"/>
      <c r="C25" s="208"/>
      <c r="D25" s="115"/>
      <c r="E25" s="195"/>
      <c r="F25" s="192">
        <v>5</v>
      </c>
      <c r="G25" s="198"/>
      <c r="H25" s="198"/>
      <c r="I25" s="115"/>
      <c r="J25" s="262"/>
      <c r="K25" s="314">
        <v>5</v>
      </c>
      <c r="L25" s="263"/>
      <c r="M25" s="478"/>
      <c r="N25" s="115"/>
      <c r="O25" s="262"/>
      <c r="P25" s="261"/>
      <c r="Q25" s="307"/>
      <c r="R25" s="237"/>
      <c r="S25" s="236"/>
    </row>
    <row r="26" spans="1:19" s="191" customFormat="1" ht="22.5" x14ac:dyDescent="0.2">
      <c r="A26" s="207">
        <f t="shared" si="0"/>
        <v>6</v>
      </c>
      <c r="B26" s="198"/>
      <c r="C26" s="208"/>
      <c r="D26" s="115"/>
      <c r="E26" s="195"/>
      <c r="F26" s="192">
        <v>6</v>
      </c>
      <c r="G26" s="198"/>
      <c r="H26" s="198"/>
      <c r="I26" s="115"/>
      <c r="J26" s="262"/>
      <c r="K26" s="314">
        <v>6</v>
      </c>
      <c r="L26" s="263"/>
      <c r="M26" s="263"/>
      <c r="N26" s="115"/>
      <c r="O26" s="262"/>
      <c r="P26" s="261"/>
      <c r="Q26" s="307"/>
      <c r="R26" s="237"/>
      <c r="S26" s="236"/>
    </row>
    <row r="27" spans="1:19" s="191" customFormat="1" ht="22.5" x14ac:dyDescent="0.2">
      <c r="A27" s="207">
        <f t="shared" si="0"/>
        <v>7</v>
      </c>
      <c r="B27" s="198"/>
      <c r="C27" s="209"/>
      <c r="D27" s="115"/>
      <c r="E27" s="195"/>
      <c r="F27" s="192">
        <v>7</v>
      </c>
      <c r="G27" s="192"/>
      <c r="H27" s="192"/>
      <c r="I27" s="223"/>
      <c r="J27" s="262"/>
      <c r="K27" s="314">
        <v>7</v>
      </c>
      <c r="L27" s="263"/>
      <c r="M27" s="263"/>
      <c r="N27" s="223"/>
      <c r="O27" s="262"/>
      <c r="P27" s="261"/>
      <c r="Q27" s="307"/>
      <c r="R27" s="237"/>
      <c r="S27" s="236"/>
    </row>
    <row r="28" spans="1:19" s="191" customFormat="1" ht="22.5" x14ac:dyDescent="0.2">
      <c r="A28" s="207">
        <f t="shared" si="0"/>
        <v>8</v>
      </c>
      <c r="B28" s="198"/>
      <c r="C28" s="209"/>
      <c r="D28" s="115"/>
      <c r="E28" s="195"/>
      <c r="F28" s="192">
        <v>8</v>
      </c>
      <c r="G28" s="192"/>
      <c r="H28" s="192"/>
      <c r="I28" s="223"/>
      <c r="J28" s="262"/>
      <c r="K28" s="314">
        <v>8</v>
      </c>
      <c r="L28" s="257"/>
      <c r="M28" s="257"/>
      <c r="N28" s="223"/>
      <c r="O28" s="262"/>
      <c r="P28" s="261"/>
      <c r="Q28" s="307"/>
      <c r="R28" s="237"/>
      <c r="S28" s="236"/>
    </row>
    <row r="29" spans="1:19" s="191" customFormat="1" ht="22.5" x14ac:dyDescent="0.2">
      <c r="A29" s="207">
        <f t="shared" si="0"/>
        <v>9</v>
      </c>
      <c r="B29" s="198"/>
      <c r="C29" s="209"/>
      <c r="D29" s="115"/>
      <c r="E29" s="195"/>
      <c r="F29" s="192">
        <v>9</v>
      </c>
      <c r="G29" s="201"/>
      <c r="H29" s="201"/>
      <c r="I29" s="224"/>
      <c r="J29" s="262"/>
      <c r="K29" s="314">
        <v>9</v>
      </c>
      <c r="L29" s="264"/>
      <c r="M29" s="264"/>
      <c r="N29" s="224"/>
      <c r="O29" s="262"/>
      <c r="P29" s="261"/>
      <c r="Q29" s="307"/>
      <c r="R29" s="237"/>
      <c r="S29" s="236"/>
    </row>
    <row r="30" spans="1:19" s="191" customFormat="1" ht="22.5" x14ac:dyDescent="0.2">
      <c r="A30" s="207">
        <f t="shared" si="0"/>
        <v>10</v>
      </c>
      <c r="B30" s="198"/>
      <c r="C30" s="209"/>
      <c r="D30" s="221"/>
      <c r="E30" s="195"/>
      <c r="F30" s="192">
        <v>10</v>
      </c>
      <c r="G30" s="201"/>
      <c r="H30" s="201"/>
      <c r="I30" s="224"/>
      <c r="J30" s="262"/>
      <c r="K30" s="314">
        <v>10</v>
      </c>
      <c r="L30" s="264"/>
      <c r="M30" s="264"/>
      <c r="N30" s="224"/>
      <c r="O30" s="262"/>
      <c r="P30" s="261"/>
      <c r="Q30" s="307"/>
      <c r="R30" s="237"/>
      <c r="S30" s="236"/>
    </row>
    <row r="31" spans="1:19" s="191" customFormat="1" ht="22.5" x14ac:dyDescent="0.2">
      <c r="A31" s="207">
        <f t="shared" si="0"/>
        <v>11</v>
      </c>
      <c r="B31" s="199"/>
      <c r="C31" s="199"/>
      <c r="D31" s="200"/>
      <c r="E31" s="195"/>
      <c r="F31" s="192">
        <v>11</v>
      </c>
      <c r="G31" s="201"/>
      <c r="H31" s="201"/>
      <c r="I31" s="224"/>
      <c r="J31" s="262"/>
      <c r="K31" s="314">
        <v>11</v>
      </c>
      <c r="L31" s="264"/>
      <c r="M31" s="264"/>
      <c r="N31" s="224"/>
      <c r="O31" s="262"/>
      <c r="P31" s="261"/>
      <c r="Q31" s="307"/>
      <c r="R31" s="237"/>
      <c r="S31" s="236"/>
    </row>
    <row r="32" spans="1:19" s="191" customFormat="1" ht="22.5" x14ac:dyDescent="0.2">
      <c r="A32" s="207">
        <f t="shared" si="0"/>
        <v>12</v>
      </c>
      <c r="B32" s="199"/>
      <c r="C32" s="199"/>
      <c r="D32" s="200"/>
      <c r="E32" s="195"/>
      <c r="F32" s="192">
        <v>12</v>
      </c>
      <c r="G32" s="201"/>
      <c r="H32" s="201"/>
      <c r="I32" s="224"/>
      <c r="J32" s="262"/>
      <c r="K32" s="314">
        <v>12</v>
      </c>
      <c r="L32" s="264"/>
      <c r="M32" s="264"/>
      <c r="N32" s="224"/>
      <c r="O32" s="262"/>
      <c r="P32" s="261"/>
      <c r="Q32" s="307"/>
      <c r="R32" s="237"/>
      <c r="S32" s="236"/>
    </row>
    <row r="33" spans="1:19" ht="15.75" x14ac:dyDescent="0.25">
      <c r="D33" s="203">
        <f>SUM(D21:D32)</f>
        <v>1391.1999999999998</v>
      </c>
      <c r="F33" s="174"/>
      <c r="I33" s="252">
        <f>SUM(I21:I32)</f>
        <v>695.59999999999991</v>
      </c>
      <c r="J33" s="252"/>
      <c r="K33" s="252"/>
      <c r="L33" s="252"/>
      <c r="M33" s="252"/>
      <c r="N33" s="252">
        <f>SUM(N21:N32)</f>
        <v>1391.1999999999998</v>
      </c>
      <c r="O33" s="252"/>
      <c r="P33" s="252">
        <f>SUM(D33:N33)</f>
        <v>3477.9999999999995</v>
      </c>
      <c r="Q33" s="304"/>
      <c r="R33" s="240"/>
      <c r="S33" s="236"/>
    </row>
    <row r="34" spans="1:19" ht="12.75" customHeight="1" x14ac:dyDescent="0.2">
      <c r="A34" s="530"/>
      <c r="B34" s="530"/>
      <c r="C34" s="530"/>
      <c r="D34" s="530"/>
      <c r="E34" s="530"/>
      <c r="F34" s="530"/>
      <c r="G34" s="530"/>
      <c r="H34" s="530"/>
      <c r="I34" s="531"/>
      <c r="J34" s="531"/>
      <c r="K34" s="531"/>
      <c r="L34" s="531"/>
      <c r="M34" s="531"/>
      <c r="N34" s="531"/>
      <c r="O34" s="531"/>
      <c r="P34" s="252"/>
      <c r="Q34" s="304"/>
      <c r="R34" s="240"/>
      <c r="S34" s="236"/>
    </row>
    <row r="35" spans="1:19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2"/>
      <c r="Q35" s="304"/>
      <c r="R35" s="240"/>
      <c r="S35" s="236"/>
    </row>
    <row r="36" spans="1:19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52"/>
      <c r="Q36" s="304"/>
      <c r="R36" s="240"/>
      <c r="S36" s="236"/>
    </row>
    <row r="37" spans="1:19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52"/>
      <c r="Q37" s="304"/>
      <c r="R37" s="240"/>
      <c r="S37" s="236"/>
    </row>
    <row r="38" spans="1:19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52"/>
      <c r="Q38" s="304"/>
      <c r="R38" s="240"/>
      <c r="S38" s="236"/>
    </row>
    <row r="39" spans="1:19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52"/>
      <c r="Q39" s="304"/>
      <c r="R39" s="240"/>
      <c r="S39" s="236"/>
    </row>
    <row r="40" spans="1:19" x14ac:dyDescent="0.2">
      <c r="I40" s="252"/>
      <c r="J40" s="252"/>
      <c r="K40" s="252"/>
      <c r="L40" s="252"/>
      <c r="M40" s="252"/>
      <c r="N40" s="252"/>
      <c r="O40" s="252"/>
      <c r="P40" s="252"/>
      <c r="Q40" s="304"/>
      <c r="R40" s="240"/>
      <c r="S40" s="236"/>
    </row>
    <row r="41" spans="1:19" x14ac:dyDescent="0.2">
      <c r="I41" s="252"/>
      <c r="J41" s="252"/>
      <c r="K41" s="252"/>
      <c r="L41" s="252"/>
      <c r="M41" s="252"/>
      <c r="N41" s="252"/>
      <c r="O41" s="252"/>
      <c r="P41" s="252"/>
      <c r="Q41" s="304"/>
      <c r="R41" s="240"/>
      <c r="S41" s="236"/>
    </row>
    <row r="42" spans="1:19" x14ac:dyDescent="0.2">
      <c r="I42" s="252"/>
      <c r="J42" s="252"/>
      <c r="K42" s="252"/>
      <c r="L42" s="252"/>
      <c r="M42" s="252"/>
      <c r="N42" s="252"/>
      <c r="O42" s="252"/>
      <c r="P42" s="252"/>
      <c r="Q42" s="304"/>
      <c r="R42" s="240"/>
      <c r="S42" s="236"/>
    </row>
    <row r="43" spans="1:19" x14ac:dyDescent="0.2">
      <c r="I43" s="252"/>
      <c r="J43" s="252"/>
      <c r="K43" s="252"/>
      <c r="L43" s="252"/>
      <c r="M43" s="252"/>
      <c r="N43" s="252"/>
      <c r="O43" s="252"/>
      <c r="P43" s="252"/>
      <c r="Q43" s="304"/>
      <c r="R43" s="240"/>
      <c r="S43" s="236"/>
    </row>
    <row r="44" spans="1:19" x14ac:dyDescent="0.2">
      <c r="I44" s="252"/>
      <c r="J44" s="252"/>
      <c r="K44" s="252"/>
      <c r="L44" s="252"/>
      <c r="M44" s="252"/>
      <c r="N44" s="252"/>
      <c r="O44" s="252"/>
      <c r="P44" s="252"/>
      <c r="Q44" s="304"/>
      <c r="R44" s="240"/>
      <c r="S44" s="236"/>
    </row>
    <row r="45" spans="1:19" x14ac:dyDescent="0.2">
      <c r="I45" s="252"/>
      <c r="J45" s="252"/>
      <c r="K45" s="252"/>
      <c r="L45" s="252"/>
      <c r="M45" s="252"/>
      <c r="N45" s="252"/>
      <c r="O45" s="252"/>
      <c r="P45" s="252"/>
      <c r="Q45" s="304"/>
      <c r="R45" s="240"/>
      <c r="S45" s="236"/>
    </row>
    <row r="46" spans="1:19" x14ac:dyDescent="0.2">
      <c r="I46" s="252"/>
      <c r="J46" s="252"/>
      <c r="K46" s="252"/>
      <c r="L46" s="252"/>
      <c r="M46" s="252"/>
      <c r="N46" s="252"/>
      <c r="O46" s="252"/>
      <c r="P46" s="252"/>
      <c r="Q46" s="304"/>
      <c r="R46" s="240"/>
      <c r="S46" s="236"/>
    </row>
    <row r="47" spans="1:19" x14ac:dyDescent="0.2">
      <c r="I47" s="252"/>
      <c r="J47" s="252"/>
      <c r="K47" s="252"/>
      <c r="L47" s="252"/>
      <c r="M47" s="252"/>
      <c r="N47" s="252"/>
      <c r="O47" s="252"/>
      <c r="P47" s="252"/>
      <c r="Q47" s="304"/>
      <c r="R47" s="240"/>
      <c r="S47" s="236"/>
    </row>
    <row r="48" spans="1:19" x14ac:dyDescent="0.2">
      <c r="I48" s="252"/>
      <c r="J48" s="252"/>
      <c r="K48" s="252"/>
      <c r="L48" s="252"/>
      <c r="M48" s="252"/>
      <c r="N48" s="252"/>
      <c r="O48" s="252"/>
      <c r="P48" s="252"/>
      <c r="Q48" s="304"/>
      <c r="R48" s="240"/>
      <c r="S48" s="236"/>
    </row>
    <row r="49" spans="9:19" x14ac:dyDescent="0.2">
      <c r="I49" s="252"/>
      <c r="J49" s="252"/>
      <c r="K49" s="252"/>
      <c r="L49" s="252"/>
      <c r="M49" s="252"/>
      <c r="N49" s="252"/>
      <c r="O49" s="252"/>
      <c r="P49" s="252"/>
      <c r="Q49" s="304"/>
      <c r="R49" s="240"/>
      <c r="S49" s="236"/>
    </row>
    <row r="50" spans="9:19" x14ac:dyDescent="0.2">
      <c r="I50" s="252"/>
      <c r="J50" s="252"/>
      <c r="K50" s="252"/>
      <c r="L50" s="252"/>
      <c r="M50" s="252"/>
      <c r="N50" s="252"/>
      <c r="O50" s="252"/>
      <c r="P50" s="252"/>
      <c r="Q50" s="304"/>
      <c r="R50" s="240"/>
      <c r="S50" s="236"/>
    </row>
    <row r="51" spans="9:19" x14ac:dyDescent="0.2">
      <c r="I51" s="253"/>
      <c r="J51" s="253"/>
      <c r="K51" s="253"/>
      <c r="L51" s="253"/>
      <c r="M51" s="253"/>
      <c r="N51" s="253"/>
      <c r="O51" s="253"/>
      <c r="P51" s="253"/>
      <c r="Q51" s="304"/>
    </row>
  </sheetData>
  <mergeCells count="21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8:O38"/>
    <mergeCell ref="A39:O39"/>
    <mergeCell ref="A14:B14"/>
    <mergeCell ref="E14:F14"/>
    <mergeCell ref="A34:O34"/>
    <mergeCell ref="A35:O35"/>
    <mergeCell ref="A36:O36"/>
    <mergeCell ref="A37:O37"/>
  </mergeCells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1"/>
  <sheetViews>
    <sheetView view="pageBreakPreview" zoomScaleNormal="100" zoomScaleSheetLayoutView="100" workbookViewId="0">
      <selection sqref="A1:O27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57" customWidth="1"/>
    <col min="4" max="4" width="14.42578125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.28515625" style="30" bestFit="1" customWidth="1"/>
    <col min="15" max="15" width="9.5703125" style="30" customWidth="1"/>
    <col min="16" max="16" width="15.7109375" style="58" bestFit="1" customWidth="1"/>
    <col min="17" max="17" width="9.140625" style="58"/>
    <col min="18" max="18" width="9.140625" style="57"/>
    <col min="19" max="21" width="9.140625" style="30"/>
    <col min="22" max="22" width="11.140625" style="30" bestFit="1" customWidth="1"/>
    <col min="23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L1" s="226"/>
      <c r="M1" s="226"/>
      <c r="N1" s="227"/>
      <c r="O1" s="226"/>
      <c r="Q1" s="308"/>
      <c r="R1" s="302"/>
    </row>
    <row r="2" spans="1:19" x14ac:dyDescent="0.2">
      <c r="C2" s="30"/>
      <c r="K2" s="78"/>
      <c r="N2" s="81"/>
      <c r="P2" s="30"/>
    </row>
    <row r="3" spans="1:19" ht="25.5" x14ac:dyDescent="0.35">
      <c r="A3" s="523" t="s">
        <v>0</v>
      </c>
      <c r="B3" s="513"/>
      <c r="C3" s="35" t="s">
        <v>66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  <c r="P3" s="30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  <c r="P4" s="30"/>
    </row>
    <row r="5" spans="1:19" ht="16.5" thickBot="1" x14ac:dyDescent="0.3">
      <c r="A5" s="513" t="s">
        <v>1</v>
      </c>
      <c r="B5" s="514"/>
      <c r="C5" s="37">
        <v>43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  <c r="P5" s="30"/>
    </row>
    <row r="6" spans="1:19" ht="16.5" thickBot="1" x14ac:dyDescent="0.3">
      <c r="A6" s="513" t="s">
        <v>2</v>
      </c>
      <c r="B6" s="513"/>
      <c r="C6" s="38">
        <v>75</v>
      </c>
      <c r="D6" s="32" t="s">
        <v>3</v>
      </c>
      <c r="E6" s="515">
        <f>SUM(C5*C6)</f>
        <v>3225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136"/>
      <c r="B7" s="136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1000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136"/>
      <c r="B9" s="137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4225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136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253.5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136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3971.5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136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136"/>
      <c r="B16" s="136"/>
      <c r="C16" s="136"/>
      <c r="D16" s="136"/>
      <c r="E16" s="136"/>
      <c r="F16" s="136"/>
      <c r="G16" s="136"/>
      <c r="H16" s="136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1588.6000000000001</v>
      </c>
      <c r="G18" s="47">
        <f>E14*0.2</f>
        <v>794.30000000000007</v>
      </c>
      <c r="I18" s="255"/>
      <c r="J18" s="255"/>
      <c r="K18" s="255"/>
      <c r="L18" s="255">
        <f>E14*0.4</f>
        <v>1588.6000000000001</v>
      </c>
      <c r="M18" s="255"/>
      <c r="N18" s="255"/>
      <c r="O18" s="255"/>
      <c r="P18" s="255">
        <f>SUM(A18:M18)</f>
        <v>3971.5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12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2.5" x14ac:dyDescent="0.3">
      <c r="A21" s="93">
        <v>1</v>
      </c>
      <c r="B21" s="483" t="s">
        <v>241</v>
      </c>
      <c r="C21" s="472">
        <v>8.02</v>
      </c>
      <c r="D21" s="220">
        <f>B18*0.4</f>
        <v>635.44000000000005</v>
      </c>
      <c r="E21" s="97"/>
      <c r="F21" s="93">
        <v>1</v>
      </c>
      <c r="G21" s="483" t="s">
        <v>241</v>
      </c>
      <c r="H21" s="483">
        <v>10.6</v>
      </c>
      <c r="I21" s="220">
        <f>G18*0.4</f>
        <v>317.72000000000003</v>
      </c>
      <c r="J21" s="276"/>
      <c r="K21" s="312">
        <v>1</v>
      </c>
      <c r="L21" s="277" t="s">
        <v>241</v>
      </c>
      <c r="M21" s="473">
        <v>18.619999999999997</v>
      </c>
      <c r="N21" s="220">
        <f>L18*0.4</f>
        <v>635.44000000000005</v>
      </c>
      <c r="O21" s="278"/>
      <c r="P21" s="279"/>
      <c r="Q21" s="310"/>
      <c r="R21" s="246"/>
      <c r="S21" s="238"/>
    </row>
    <row r="22" spans="1:19" s="48" customFormat="1" ht="24" x14ac:dyDescent="0.3">
      <c r="A22" s="84">
        <v>2</v>
      </c>
      <c r="B22" s="483" t="s">
        <v>242</v>
      </c>
      <c r="C22" s="472">
        <v>8.06</v>
      </c>
      <c r="D22" s="115">
        <f>B18*0.3</f>
        <v>476.58000000000004</v>
      </c>
      <c r="E22" s="100"/>
      <c r="F22" s="84">
        <v>2</v>
      </c>
      <c r="G22" s="483" t="s">
        <v>254</v>
      </c>
      <c r="H22" s="483">
        <v>10.68</v>
      </c>
      <c r="I22" s="115">
        <f>G18*0.3</f>
        <v>238.29000000000002</v>
      </c>
      <c r="J22" s="280"/>
      <c r="K22" s="101">
        <v>2</v>
      </c>
      <c r="L22" s="281" t="s">
        <v>254</v>
      </c>
      <c r="M22" s="474">
        <v>18.740000000000002</v>
      </c>
      <c r="N22" s="115">
        <f>L18*0.3</f>
        <v>476.58000000000004</v>
      </c>
      <c r="O22" s="282"/>
      <c r="P22" s="279"/>
      <c r="Q22" s="310"/>
      <c r="R22" s="246"/>
      <c r="S22" s="238"/>
    </row>
    <row r="23" spans="1:19" s="48" customFormat="1" ht="24" x14ac:dyDescent="0.3">
      <c r="A23" s="84">
        <v>3</v>
      </c>
      <c r="B23" s="483" t="s">
        <v>243</v>
      </c>
      <c r="C23" s="472">
        <v>8.4499999999999993</v>
      </c>
      <c r="D23" s="115">
        <f>B18*0.2</f>
        <v>317.72000000000003</v>
      </c>
      <c r="E23" s="100"/>
      <c r="F23" s="84">
        <v>3</v>
      </c>
      <c r="G23" s="73"/>
      <c r="H23" s="112"/>
      <c r="I23" s="115">
        <f>G18*0.2</f>
        <v>158.86000000000001</v>
      </c>
      <c r="J23" s="280"/>
      <c r="K23" s="101">
        <v>3</v>
      </c>
      <c r="L23" s="281" t="s">
        <v>242</v>
      </c>
      <c r="M23" s="474">
        <v>8.4499999999999993</v>
      </c>
      <c r="N23" s="115">
        <f>L18*0.2</f>
        <v>317.72000000000003</v>
      </c>
      <c r="O23" s="282"/>
      <c r="P23" s="279"/>
      <c r="Q23" s="310"/>
      <c r="R23" s="246"/>
      <c r="S23" s="238"/>
    </row>
    <row r="24" spans="1:19" s="48" customFormat="1" ht="24" x14ac:dyDescent="0.3">
      <c r="A24" s="84">
        <v>4</v>
      </c>
      <c r="B24" s="483" t="s">
        <v>244</v>
      </c>
      <c r="C24" s="472">
        <v>8.86</v>
      </c>
      <c r="D24" s="115">
        <f>B18*0.1</f>
        <v>158.86000000000001</v>
      </c>
      <c r="E24" s="100"/>
      <c r="F24" s="84">
        <v>4</v>
      </c>
      <c r="G24" s="73"/>
      <c r="H24" s="112"/>
      <c r="I24" s="115">
        <f>G18*0.1</f>
        <v>79.430000000000007</v>
      </c>
      <c r="J24" s="280"/>
      <c r="K24" s="101">
        <v>4</v>
      </c>
      <c r="L24" s="281" t="s">
        <v>243</v>
      </c>
      <c r="M24" s="474">
        <v>8.86</v>
      </c>
      <c r="N24" s="115">
        <f>L18*0.1</f>
        <v>158.86000000000001</v>
      </c>
      <c r="O24" s="282"/>
      <c r="P24" s="279"/>
      <c r="Q24" s="310"/>
      <c r="R24" s="246"/>
      <c r="S24" s="238"/>
    </row>
    <row r="25" spans="1:19" s="48" customFormat="1" ht="22.5" x14ac:dyDescent="0.3">
      <c r="A25" s="84">
        <v>5</v>
      </c>
      <c r="B25" s="73"/>
      <c r="C25" s="112"/>
      <c r="D25" s="115"/>
      <c r="E25" s="126"/>
      <c r="F25" s="84">
        <v>5</v>
      </c>
      <c r="G25" s="73"/>
      <c r="H25" s="112"/>
      <c r="I25" s="223"/>
      <c r="J25" s="280"/>
      <c r="K25" s="101">
        <v>5</v>
      </c>
      <c r="L25" s="281"/>
      <c r="M25" s="281"/>
      <c r="N25" s="115"/>
      <c r="O25" s="282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73"/>
      <c r="C26" s="112"/>
      <c r="D26" s="115"/>
      <c r="E26" s="128"/>
      <c r="F26" s="84">
        <v>6</v>
      </c>
      <c r="G26" s="73"/>
      <c r="H26" s="112"/>
      <c r="I26" s="223"/>
      <c r="J26" s="280"/>
      <c r="K26" s="101">
        <v>6</v>
      </c>
      <c r="L26" s="281"/>
      <c r="M26" s="281"/>
      <c r="N26" s="115"/>
      <c r="O26" s="282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73"/>
      <c r="C27" s="112"/>
      <c r="D27" s="115"/>
      <c r="E27" s="113"/>
      <c r="F27" s="84">
        <v>7</v>
      </c>
      <c r="G27" s="84"/>
      <c r="H27" s="127"/>
      <c r="I27" s="223"/>
      <c r="J27" s="280"/>
      <c r="K27" s="101">
        <v>7</v>
      </c>
      <c r="L27" s="281"/>
      <c r="M27" s="281"/>
      <c r="N27" s="223"/>
      <c r="O27" s="28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73"/>
      <c r="C28" s="112"/>
      <c r="D28" s="115"/>
      <c r="E28" s="100"/>
      <c r="F28" s="84">
        <v>8</v>
      </c>
      <c r="G28" s="84"/>
      <c r="H28" s="127"/>
      <c r="I28" s="223"/>
      <c r="J28" s="280"/>
      <c r="K28" s="101">
        <v>8</v>
      </c>
      <c r="L28" s="274"/>
      <c r="M28" s="274"/>
      <c r="N28" s="223"/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73"/>
      <c r="D29" s="115"/>
      <c r="E29" s="100"/>
      <c r="F29" s="84">
        <v>9</v>
      </c>
      <c r="G29" s="118"/>
      <c r="H29" s="129"/>
      <c r="I29" s="224"/>
      <c r="J29" s="280"/>
      <c r="K29" s="101">
        <v>9</v>
      </c>
      <c r="L29" s="274"/>
      <c r="M29" s="274"/>
      <c r="N29" s="223"/>
      <c r="O29" s="282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73"/>
      <c r="D30" s="221"/>
      <c r="E30" s="100"/>
      <c r="F30" s="84">
        <v>10</v>
      </c>
      <c r="G30" s="118"/>
      <c r="H30" s="129"/>
      <c r="I30" s="224"/>
      <c r="J30" s="280"/>
      <c r="K30" s="101">
        <v>10</v>
      </c>
      <c r="L30" s="283"/>
      <c r="M30" s="283"/>
      <c r="N30" s="224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130"/>
      <c r="E31" s="100"/>
      <c r="F31" s="84">
        <v>11</v>
      </c>
      <c r="G31" s="117"/>
      <c r="H31" s="117"/>
      <c r="I31" s="224"/>
      <c r="J31" s="280"/>
      <c r="K31" s="101">
        <v>11</v>
      </c>
      <c r="L31" s="283"/>
      <c r="M31" s="283"/>
      <c r="N31" s="224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20" ht="15.75" x14ac:dyDescent="0.25">
      <c r="C33" s="30"/>
      <c r="D33" s="49">
        <f>SUM(D21:D32)-2</f>
        <v>1586.6</v>
      </c>
      <c r="F33" s="31"/>
      <c r="I33" s="271">
        <f>SUM(I21:I32)</f>
        <v>794.3</v>
      </c>
      <c r="J33" s="271"/>
      <c r="K33" s="271"/>
      <c r="L33" s="271"/>
      <c r="M33" s="271"/>
      <c r="N33" s="271">
        <f>SUM(N21:N32)-2</f>
        <v>1586.6</v>
      </c>
      <c r="O33" s="271"/>
      <c r="P33" s="271">
        <f>SUM(D33:N33)</f>
        <v>3967.4999999999995</v>
      </c>
      <c r="Q33" s="248"/>
      <c r="R33" s="244"/>
      <c r="S33" s="238"/>
    </row>
    <row r="34" spans="1:20" s="138" customFormat="1" ht="12.75" customHeight="1" x14ac:dyDescent="0.2">
      <c r="C34" s="52"/>
      <c r="D34" s="51"/>
      <c r="I34" s="271"/>
      <c r="J34" s="271"/>
      <c r="K34" s="271"/>
      <c r="L34" s="271"/>
      <c r="M34" s="271"/>
      <c r="N34" s="271"/>
      <c r="O34" s="271"/>
      <c r="P34" s="284"/>
      <c r="Q34" s="311"/>
      <c r="R34" s="239"/>
      <c r="S34" s="238"/>
      <c r="T34" s="53"/>
    </row>
    <row r="35" spans="1:20" s="138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311"/>
      <c r="R35" s="239"/>
      <c r="S35" s="238"/>
    </row>
    <row r="36" spans="1:20" s="138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311"/>
      <c r="R36" s="247"/>
      <c r="S36" s="238"/>
    </row>
    <row r="37" spans="1:20" s="138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311"/>
      <c r="R37" s="247"/>
      <c r="S37" s="238"/>
    </row>
    <row r="38" spans="1:20" s="138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311"/>
      <c r="R38" s="247"/>
      <c r="S38" s="238"/>
    </row>
    <row r="39" spans="1:20" s="138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311"/>
      <c r="R39" s="247"/>
      <c r="S39" s="238"/>
    </row>
    <row r="40" spans="1:20" ht="22.5" x14ac:dyDescent="0.3">
      <c r="A40" s="55"/>
      <c r="B40" s="56"/>
      <c r="I40" s="271"/>
      <c r="J40" s="271"/>
      <c r="K40" s="271"/>
      <c r="L40" s="271"/>
      <c r="M40" s="271"/>
      <c r="N40" s="271"/>
      <c r="O40" s="271"/>
      <c r="P40" s="271"/>
      <c r="Q40" s="310"/>
      <c r="R40" s="244"/>
      <c r="S40" s="238"/>
    </row>
    <row r="41" spans="1:20" ht="22.5" x14ac:dyDescent="0.3">
      <c r="A41" s="55"/>
      <c r="B41" s="56"/>
      <c r="I41" s="271"/>
      <c r="J41" s="271"/>
      <c r="K41" s="271"/>
      <c r="L41" s="271"/>
      <c r="M41" s="271"/>
      <c r="N41" s="271"/>
      <c r="O41" s="271"/>
      <c r="P41" s="271"/>
      <c r="Q41" s="310"/>
      <c r="R41" s="244"/>
      <c r="S41" s="238"/>
    </row>
    <row r="42" spans="1:20" ht="22.5" x14ac:dyDescent="0.3">
      <c r="A42" s="56"/>
      <c r="B42" s="56"/>
      <c r="I42" s="271"/>
      <c r="J42" s="271"/>
      <c r="K42" s="271"/>
      <c r="L42" s="271"/>
      <c r="M42" s="271"/>
      <c r="N42" s="271"/>
      <c r="O42" s="271"/>
      <c r="P42" s="271"/>
      <c r="Q42" s="310"/>
      <c r="R42" s="244"/>
      <c r="S42" s="238"/>
    </row>
    <row r="43" spans="1:20" ht="22.5" x14ac:dyDescent="0.3">
      <c r="A43" s="55"/>
      <c r="B43" s="56"/>
      <c r="I43" s="271"/>
      <c r="J43" s="271"/>
      <c r="K43" s="271"/>
      <c r="L43" s="271"/>
      <c r="M43" s="271"/>
      <c r="N43" s="271"/>
      <c r="O43" s="271"/>
      <c r="P43" s="271"/>
      <c r="Q43" s="310"/>
      <c r="R43" s="244"/>
      <c r="S43" s="238"/>
    </row>
    <row r="44" spans="1:20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20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20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20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20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view="pageBreakPreview" zoomScaleNormal="100" zoomScaleSheetLayoutView="100" workbookViewId="0">
      <selection activeCell="L21" sqref="L21:M24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57" customWidth="1"/>
    <col min="4" max="4" width="14.42578125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.28515625" style="30" bestFit="1" customWidth="1"/>
    <col min="15" max="15" width="9.5703125" style="30" customWidth="1"/>
    <col min="16" max="16" width="15.7109375" style="58" bestFit="1" customWidth="1"/>
    <col min="17" max="17" width="9.140625" style="58"/>
    <col min="18" max="18" width="9.140625" style="57"/>
    <col min="19" max="21" width="9.140625" style="30"/>
    <col min="22" max="22" width="11.140625" style="30" bestFit="1" customWidth="1"/>
    <col min="23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L1" s="226"/>
      <c r="M1" s="226"/>
      <c r="N1" s="227"/>
      <c r="O1" s="226"/>
      <c r="Q1" s="308"/>
      <c r="R1" s="302"/>
    </row>
    <row r="2" spans="1:19" x14ac:dyDescent="0.2">
      <c r="C2" s="30"/>
      <c r="K2" s="78"/>
      <c r="N2" s="81"/>
      <c r="P2" s="30"/>
    </row>
    <row r="3" spans="1:19" ht="25.5" x14ac:dyDescent="0.35">
      <c r="A3" s="523" t="s">
        <v>0</v>
      </c>
      <c r="B3" s="513"/>
      <c r="C3" s="35" t="s">
        <v>67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  <c r="P3" s="30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  <c r="P4" s="30"/>
    </row>
    <row r="5" spans="1:19" ht="16.5" thickBot="1" x14ac:dyDescent="0.3">
      <c r="A5" s="513" t="s">
        <v>1</v>
      </c>
      <c r="B5" s="514"/>
      <c r="C5" s="37">
        <v>43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  <c r="P5" s="30"/>
    </row>
    <row r="6" spans="1:19" ht="16.5" thickBot="1" x14ac:dyDescent="0.3">
      <c r="A6" s="513" t="s">
        <v>2</v>
      </c>
      <c r="B6" s="513"/>
      <c r="C6" s="38">
        <v>75</v>
      </c>
      <c r="D6" s="32" t="s">
        <v>3</v>
      </c>
      <c r="E6" s="515">
        <f>SUM(C5*C6)</f>
        <v>3225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136"/>
      <c r="B7" s="136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1000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136"/>
      <c r="B9" s="137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4225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136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253.5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136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3971.5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136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136"/>
      <c r="B16" s="136"/>
      <c r="C16" s="136"/>
      <c r="D16" s="136"/>
      <c r="E16" s="136"/>
      <c r="F16" s="136"/>
      <c r="G16" s="136"/>
      <c r="H16" s="136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1588.6000000000001</v>
      </c>
      <c r="G18" s="47">
        <f>E14*0.2</f>
        <v>794.30000000000007</v>
      </c>
      <c r="I18" s="255"/>
      <c r="J18" s="255"/>
      <c r="K18" s="255"/>
      <c r="L18" s="255">
        <f>E14*0.4</f>
        <v>1588.6000000000001</v>
      </c>
      <c r="M18" s="255"/>
      <c r="N18" s="255"/>
      <c r="O18" s="255"/>
      <c r="P18" s="255">
        <f>SUM(A18:M18)</f>
        <v>3971.5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12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2.5" x14ac:dyDescent="0.3">
      <c r="A21" s="93">
        <v>1</v>
      </c>
      <c r="B21" s="483" t="s">
        <v>241</v>
      </c>
      <c r="C21" s="472">
        <v>8.02</v>
      </c>
      <c r="D21" s="220">
        <f>B18*0.4</f>
        <v>635.44000000000005</v>
      </c>
      <c r="E21" s="97"/>
      <c r="F21" s="93">
        <v>1</v>
      </c>
      <c r="G21" s="483" t="s">
        <v>241</v>
      </c>
      <c r="H21" s="483">
        <v>10.6</v>
      </c>
      <c r="I21" s="220">
        <f>G18*0.4</f>
        <v>317.72000000000003</v>
      </c>
      <c r="J21" s="276"/>
      <c r="K21" s="312">
        <v>1</v>
      </c>
      <c r="L21" s="277" t="s">
        <v>241</v>
      </c>
      <c r="M21" s="473">
        <v>18.619999999999997</v>
      </c>
      <c r="N21" s="220">
        <v>10.6</v>
      </c>
      <c r="O21" s="278"/>
      <c r="P21" s="279"/>
      <c r="Q21" s="310"/>
      <c r="R21" s="246"/>
      <c r="S21" s="238"/>
    </row>
    <row r="22" spans="1:19" s="48" customFormat="1" ht="24" x14ac:dyDescent="0.3">
      <c r="A22" s="84">
        <v>2</v>
      </c>
      <c r="B22" s="483" t="s">
        <v>242</v>
      </c>
      <c r="C22" s="472">
        <v>8.06</v>
      </c>
      <c r="D22" s="115">
        <f>B18*0.3</f>
        <v>476.58000000000004</v>
      </c>
      <c r="E22" s="100"/>
      <c r="F22" s="84">
        <v>2</v>
      </c>
      <c r="G22" s="483" t="s">
        <v>254</v>
      </c>
      <c r="H22" s="483">
        <v>10.68</v>
      </c>
      <c r="I22" s="115">
        <f>G18*0.3</f>
        <v>238.29000000000002</v>
      </c>
      <c r="J22" s="280"/>
      <c r="K22" s="101">
        <v>2</v>
      </c>
      <c r="L22" s="281" t="s">
        <v>254</v>
      </c>
      <c r="M22" s="474">
        <v>18.740000000000002</v>
      </c>
      <c r="N22" s="115">
        <v>10.68</v>
      </c>
      <c r="O22" s="282"/>
      <c r="P22" s="279"/>
      <c r="Q22" s="310"/>
      <c r="R22" s="246"/>
      <c r="S22" s="238"/>
    </row>
    <row r="23" spans="1:19" s="48" customFormat="1" ht="24" x14ac:dyDescent="0.3">
      <c r="A23" s="84">
        <v>3</v>
      </c>
      <c r="B23" s="483" t="s">
        <v>243</v>
      </c>
      <c r="C23" s="472">
        <v>8.4499999999999993</v>
      </c>
      <c r="D23" s="115">
        <f>B18*0.2</f>
        <v>317.72000000000003</v>
      </c>
      <c r="E23" s="100"/>
      <c r="F23" s="84">
        <v>3</v>
      </c>
      <c r="G23" s="73"/>
      <c r="H23" s="112"/>
      <c r="I23" s="115">
        <f>G18*0.2</f>
        <v>158.86000000000001</v>
      </c>
      <c r="J23" s="280"/>
      <c r="K23" s="101">
        <v>3</v>
      </c>
      <c r="L23" s="281" t="s">
        <v>242</v>
      </c>
      <c r="M23" s="474">
        <v>8.4499999999999993</v>
      </c>
      <c r="N23" s="115" t="s">
        <v>196</v>
      </c>
      <c r="O23" s="282"/>
      <c r="P23" s="279"/>
      <c r="Q23" s="310"/>
      <c r="R23" s="246"/>
      <c r="S23" s="238"/>
    </row>
    <row r="24" spans="1:19" s="48" customFormat="1" ht="24" x14ac:dyDescent="0.3">
      <c r="A24" s="84">
        <v>4</v>
      </c>
      <c r="B24" s="483" t="s">
        <v>244</v>
      </c>
      <c r="C24" s="472">
        <v>8.86</v>
      </c>
      <c r="D24" s="115">
        <f>B18*0.1</f>
        <v>158.86000000000001</v>
      </c>
      <c r="E24" s="100"/>
      <c r="F24" s="84">
        <v>4</v>
      </c>
      <c r="G24" s="73"/>
      <c r="H24" s="112"/>
      <c r="I24" s="115">
        <f>G18*0.1</f>
        <v>79.430000000000007</v>
      </c>
      <c r="J24" s="280"/>
      <c r="K24" s="101">
        <v>4</v>
      </c>
      <c r="L24" s="281" t="s">
        <v>243</v>
      </c>
      <c r="M24" s="474">
        <v>8.86</v>
      </c>
      <c r="N24" s="115" t="s">
        <v>196</v>
      </c>
      <c r="O24" s="282"/>
      <c r="P24" s="279"/>
      <c r="Q24" s="310"/>
      <c r="R24" s="246"/>
      <c r="S24" s="238"/>
    </row>
    <row r="25" spans="1:19" s="48" customFormat="1" ht="22.5" x14ac:dyDescent="0.3">
      <c r="A25" s="84">
        <v>5</v>
      </c>
      <c r="B25" s="73"/>
      <c r="C25" s="112"/>
      <c r="D25" s="115"/>
      <c r="E25" s="126"/>
      <c r="F25" s="84">
        <v>5</v>
      </c>
      <c r="G25" s="73"/>
      <c r="H25" s="112"/>
      <c r="I25" s="223"/>
      <c r="J25" s="280"/>
      <c r="K25" s="101">
        <v>5</v>
      </c>
      <c r="L25" s="281"/>
      <c r="M25" s="474"/>
      <c r="N25" s="115"/>
      <c r="O25" s="282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73"/>
      <c r="C26" s="112"/>
      <c r="D26" s="115"/>
      <c r="E26" s="128"/>
      <c r="F26" s="84">
        <v>6</v>
      </c>
      <c r="G26" s="73"/>
      <c r="H26" s="112"/>
      <c r="I26" s="223"/>
      <c r="J26" s="280"/>
      <c r="K26" s="101">
        <v>6</v>
      </c>
      <c r="L26" s="281"/>
      <c r="M26" s="281"/>
      <c r="N26" s="115"/>
      <c r="O26" s="282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73"/>
      <c r="C27" s="112"/>
      <c r="D27" s="115"/>
      <c r="E27" s="113"/>
      <c r="F27" s="84">
        <v>7</v>
      </c>
      <c r="G27" s="84"/>
      <c r="H27" s="127"/>
      <c r="I27" s="223"/>
      <c r="J27" s="280"/>
      <c r="K27" s="101">
        <v>7</v>
      </c>
      <c r="L27" s="281"/>
      <c r="M27" s="281"/>
      <c r="N27" s="223"/>
      <c r="O27" s="28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73"/>
      <c r="C28" s="112"/>
      <c r="D28" s="115"/>
      <c r="E28" s="100"/>
      <c r="F28" s="84">
        <v>8</v>
      </c>
      <c r="G28" s="84"/>
      <c r="H28" s="127"/>
      <c r="I28" s="223"/>
      <c r="J28" s="280"/>
      <c r="K28" s="101">
        <v>8</v>
      </c>
      <c r="L28" s="274"/>
      <c r="M28" s="274"/>
      <c r="N28" s="223"/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73"/>
      <c r="D29" s="115"/>
      <c r="E29" s="100"/>
      <c r="F29" s="84">
        <v>9</v>
      </c>
      <c r="G29" s="118"/>
      <c r="H29" s="129"/>
      <c r="I29" s="224"/>
      <c r="J29" s="280"/>
      <c r="K29" s="101">
        <v>9</v>
      </c>
      <c r="L29" s="274"/>
      <c r="M29" s="274"/>
      <c r="N29" s="223"/>
      <c r="O29" s="282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73"/>
      <c r="D30" s="221"/>
      <c r="E30" s="100"/>
      <c r="F30" s="84">
        <v>10</v>
      </c>
      <c r="G30" s="118"/>
      <c r="H30" s="129"/>
      <c r="I30" s="224"/>
      <c r="J30" s="280"/>
      <c r="K30" s="101">
        <v>10</v>
      </c>
      <c r="L30" s="283"/>
      <c r="M30" s="283"/>
      <c r="N30" s="224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130"/>
      <c r="E31" s="100"/>
      <c r="F31" s="84">
        <v>11</v>
      </c>
      <c r="G31" s="117"/>
      <c r="H31" s="117"/>
      <c r="I31" s="224"/>
      <c r="J31" s="280"/>
      <c r="K31" s="101">
        <v>11</v>
      </c>
      <c r="L31" s="283"/>
      <c r="M31" s="283"/>
      <c r="N31" s="224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20" ht="15.75" x14ac:dyDescent="0.25">
      <c r="C33" s="30"/>
      <c r="D33" s="49">
        <f>SUM(D21:D32)</f>
        <v>1588.6</v>
      </c>
      <c r="F33" s="31"/>
      <c r="I33" s="271">
        <f>SUM(I21:I32)</f>
        <v>794.3</v>
      </c>
      <c r="J33" s="271"/>
      <c r="K33" s="271"/>
      <c r="L33" s="271"/>
      <c r="M33" s="271"/>
      <c r="N33" s="271">
        <f>SUM(N21:N32)</f>
        <v>21.28</v>
      </c>
      <c r="O33" s="271"/>
      <c r="P33" s="271">
        <f>SUM(D33:N33)</f>
        <v>2404.1799999999998</v>
      </c>
      <c r="Q33" s="248"/>
      <c r="R33" s="244"/>
      <c r="S33" s="238"/>
    </row>
    <row r="34" spans="1:20" s="138" customFormat="1" ht="12.75" customHeight="1" x14ac:dyDescent="0.2">
      <c r="C34" s="52"/>
      <c r="D34" s="51"/>
      <c r="I34" s="271"/>
      <c r="J34" s="271"/>
      <c r="K34" s="271"/>
      <c r="L34" s="271"/>
      <c r="M34" s="271"/>
      <c r="N34" s="271"/>
      <c r="O34" s="271"/>
      <c r="P34" s="284"/>
      <c r="Q34" s="311"/>
      <c r="R34" s="239"/>
      <c r="S34" s="238"/>
      <c r="T34" s="53"/>
    </row>
    <row r="35" spans="1:20" s="138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311"/>
      <c r="R35" s="239"/>
      <c r="S35" s="238"/>
    </row>
    <row r="36" spans="1:20" s="138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311"/>
      <c r="R36" s="247"/>
      <c r="S36" s="238"/>
    </row>
    <row r="37" spans="1:20" s="138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311"/>
      <c r="R37" s="247"/>
      <c r="S37" s="238"/>
    </row>
    <row r="38" spans="1:20" s="138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311"/>
      <c r="R38" s="247"/>
      <c r="S38" s="238"/>
    </row>
    <row r="39" spans="1:20" s="138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311"/>
      <c r="R39" s="247"/>
      <c r="S39" s="238"/>
    </row>
    <row r="40" spans="1:20" ht="22.5" x14ac:dyDescent="0.3">
      <c r="A40" s="55"/>
      <c r="B40" s="56"/>
      <c r="I40" s="271"/>
      <c r="J40" s="271"/>
      <c r="K40" s="271"/>
      <c r="L40" s="271"/>
      <c r="M40" s="271"/>
      <c r="N40" s="271"/>
      <c r="O40" s="271"/>
      <c r="P40" s="271"/>
      <c r="Q40" s="310"/>
      <c r="R40" s="244"/>
      <c r="S40" s="238"/>
    </row>
    <row r="41" spans="1:20" ht="22.5" x14ac:dyDescent="0.3">
      <c r="A41" s="55"/>
      <c r="B41" s="56"/>
      <c r="I41" s="271"/>
      <c r="J41" s="271"/>
      <c r="K41" s="271"/>
      <c r="L41" s="271"/>
      <c r="M41" s="271"/>
      <c r="N41" s="271"/>
      <c r="O41" s="271"/>
      <c r="P41" s="271"/>
      <c r="Q41" s="310"/>
      <c r="R41" s="244"/>
      <c r="S41" s="238"/>
    </row>
    <row r="42" spans="1:20" ht="22.5" x14ac:dyDescent="0.3">
      <c r="A42" s="56"/>
      <c r="B42" s="56"/>
      <c r="I42" s="271"/>
      <c r="J42" s="271"/>
      <c r="K42" s="271"/>
      <c r="L42" s="271"/>
      <c r="M42" s="271"/>
      <c r="N42" s="271"/>
      <c r="O42" s="271"/>
      <c r="P42" s="271"/>
      <c r="Q42" s="310"/>
      <c r="R42" s="244"/>
      <c r="S42" s="238"/>
    </row>
    <row r="43" spans="1:20" ht="22.5" x14ac:dyDescent="0.3">
      <c r="A43" s="55"/>
      <c r="B43" s="56"/>
      <c r="I43" s="271"/>
      <c r="J43" s="271"/>
      <c r="K43" s="271"/>
      <c r="L43" s="271"/>
      <c r="M43" s="271"/>
      <c r="N43" s="271"/>
      <c r="O43" s="271"/>
      <c r="P43" s="271"/>
      <c r="Q43" s="310"/>
      <c r="R43" s="244"/>
      <c r="S43" s="238"/>
    </row>
    <row r="44" spans="1:20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20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20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20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20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1"/>
  <sheetViews>
    <sheetView view="pageBreakPreview" zoomScaleNormal="100" zoomScaleSheetLayoutView="100" workbookViewId="0">
      <selection sqref="A1:O27"/>
    </sheetView>
  </sheetViews>
  <sheetFormatPr defaultColWidth="9.140625" defaultRowHeight="12.75" x14ac:dyDescent="0.2"/>
  <cols>
    <col min="1" max="1" width="4.28515625" style="168" customWidth="1"/>
    <col min="2" max="2" width="26.7109375" style="168" customWidth="1"/>
    <col min="3" max="3" width="9.28515625" style="168" customWidth="1"/>
    <col min="4" max="4" width="13.85546875" style="168" bestFit="1" customWidth="1"/>
    <col min="5" max="5" width="9.5703125" style="168" customWidth="1"/>
    <col min="6" max="6" width="6" style="168" customWidth="1"/>
    <col min="7" max="7" width="23.7109375" style="168" customWidth="1"/>
    <col min="8" max="8" width="9.28515625" style="168" customWidth="1"/>
    <col min="9" max="9" width="12" style="168" bestFit="1" customWidth="1"/>
    <col min="10" max="10" width="9.5703125" style="168" customWidth="1"/>
    <col min="11" max="11" width="6" style="168" customWidth="1"/>
    <col min="12" max="12" width="23.7109375" style="168" customWidth="1"/>
    <col min="13" max="13" width="9.28515625" style="168" customWidth="1"/>
    <col min="14" max="14" width="12" style="168" bestFit="1" customWidth="1"/>
    <col min="15" max="15" width="9.5703125" style="168" customWidth="1"/>
    <col min="16" max="16" width="13.140625" style="168" bestFit="1" customWidth="1"/>
    <col min="17" max="17" width="9.140625" style="210"/>
    <col min="18" max="18" width="9.140625" style="213"/>
    <col min="19" max="16384" width="9.140625" style="168"/>
  </cols>
  <sheetData>
    <row r="1" spans="1:19" s="166" customFormat="1" ht="22.5" x14ac:dyDescent="0.3">
      <c r="A1" s="532" t="s">
        <v>43</v>
      </c>
      <c r="B1" s="532"/>
      <c r="C1" s="533" t="s">
        <v>184</v>
      </c>
      <c r="D1" s="533"/>
      <c r="E1" s="533"/>
      <c r="F1" s="533"/>
      <c r="G1" s="533"/>
      <c r="H1" s="533"/>
      <c r="K1" s="167"/>
      <c r="L1" s="225"/>
      <c r="M1" s="534"/>
      <c r="N1" s="534"/>
      <c r="O1" s="534"/>
      <c r="Q1" s="303"/>
      <c r="R1" s="301"/>
    </row>
    <row r="2" spans="1:19" x14ac:dyDescent="0.2">
      <c r="K2" s="169"/>
      <c r="L2" s="170"/>
      <c r="M2" s="171"/>
      <c r="N2" s="170"/>
      <c r="O2" s="169"/>
    </row>
    <row r="3" spans="1:19" ht="25.5" x14ac:dyDescent="0.35">
      <c r="A3" s="535" t="s">
        <v>0</v>
      </c>
      <c r="B3" s="526"/>
      <c r="C3" s="172" t="s">
        <v>103</v>
      </c>
      <c r="D3" s="173"/>
      <c r="E3" s="173"/>
      <c r="F3" s="173"/>
      <c r="G3" s="173"/>
      <c r="H3" s="174"/>
      <c r="I3" s="174"/>
      <c r="J3" s="174"/>
      <c r="K3" s="169"/>
      <c r="L3" s="170"/>
      <c r="M3" s="171"/>
      <c r="N3" s="170"/>
      <c r="O3" s="175"/>
    </row>
    <row r="4" spans="1:19" ht="16.5" thickBot="1" x14ac:dyDescent="0.3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69"/>
      <c r="L4" s="170"/>
      <c r="M4" s="171"/>
      <c r="N4" s="170"/>
      <c r="O4" s="175"/>
    </row>
    <row r="5" spans="1:19" ht="16.5" thickBot="1" x14ac:dyDescent="0.3">
      <c r="A5" s="526" t="s">
        <v>1</v>
      </c>
      <c r="B5" s="527"/>
      <c r="C5" s="176">
        <v>17</v>
      </c>
      <c r="D5" s="174"/>
      <c r="E5" s="174"/>
      <c r="F5" s="174"/>
      <c r="G5" s="174"/>
      <c r="H5" s="174"/>
      <c r="I5" s="174"/>
      <c r="J5" s="174"/>
      <c r="K5" s="177"/>
      <c r="L5" s="170"/>
      <c r="M5" s="171"/>
      <c r="N5" s="170"/>
      <c r="O5" s="175"/>
    </row>
    <row r="6" spans="1:19" ht="16.5" thickBot="1" x14ac:dyDescent="0.3">
      <c r="A6" s="526" t="s">
        <v>2</v>
      </c>
      <c r="B6" s="526"/>
      <c r="C6" s="38">
        <v>50</v>
      </c>
      <c r="D6" s="178" t="s">
        <v>3</v>
      </c>
      <c r="E6" s="515">
        <f>SUM(C5*C6)</f>
        <v>850</v>
      </c>
      <c r="F6" s="529"/>
      <c r="G6" s="174"/>
      <c r="H6" s="174"/>
      <c r="I6" s="250"/>
      <c r="J6" s="250"/>
      <c r="K6" s="251"/>
      <c r="L6" s="251"/>
      <c r="M6" s="251"/>
      <c r="N6" s="251"/>
      <c r="O6" s="251"/>
      <c r="P6" s="252"/>
      <c r="Q6" s="304"/>
      <c r="R6" s="240"/>
      <c r="S6" s="236"/>
    </row>
    <row r="7" spans="1:19" ht="16.5" thickBot="1" x14ac:dyDescent="0.3">
      <c r="A7" s="179"/>
      <c r="B7" s="179"/>
      <c r="C7" s="40">
        <f>A2*0.3</f>
        <v>0</v>
      </c>
      <c r="D7" s="178"/>
      <c r="E7" s="41"/>
      <c r="F7" s="180"/>
      <c r="G7" s="174"/>
      <c r="H7" s="174"/>
      <c r="I7" s="250"/>
      <c r="J7" s="250"/>
      <c r="K7" s="251"/>
      <c r="L7" s="251"/>
      <c r="M7" s="251"/>
      <c r="N7" s="251"/>
      <c r="O7" s="251"/>
      <c r="P7" s="252"/>
      <c r="Q7" s="304"/>
      <c r="R7" s="240"/>
      <c r="S7" s="236"/>
    </row>
    <row r="8" spans="1:19" ht="16.5" thickBot="1" x14ac:dyDescent="0.3">
      <c r="A8" s="526" t="s">
        <v>4</v>
      </c>
      <c r="B8" s="527"/>
      <c r="C8" s="181"/>
      <c r="D8" s="174"/>
      <c r="E8" s="528">
        <v>1000</v>
      </c>
      <c r="F8" s="529"/>
      <c r="G8" s="174"/>
      <c r="H8" s="174"/>
      <c r="I8" s="250"/>
      <c r="J8" s="250"/>
      <c r="K8" s="251"/>
      <c r="L8" s="254"/>
      <c r="M8" s="251"/>
      <c r="N8" s="251"/>
      <c r="O8" s="251"/>
      <c r="P8" s="252"/>
      <c r="Q8" s="304"/>
      <c r="R8" s="240"/>
      <c r="S8" s="236"/>
    </row>
    <row r="9" spans="1:19" ht="16.5" thickBot="1" x14ac:dyDescent="0.3">
      <c r="A9" s="179"/>
      <c r="B9" s="182"/>
      <c r="C9" s="181"/>
      <c r="D9" s="174"/>
      <c r="E9" s="180"/>
      <c r="F9" s="180"/>
      <c r="G9" s="174"/>
      <c r="H9" s="174"/>
      <c r="I9" s="250"/>
      <c r="J9" s="250"/>
      <c r="K9" s="251"/>
      <c r="L9" s="251"/>
      <c r="M9" s="251"/>
      <c r="N9" s="251"/>
      <c r="O9" s="251"/>
      <c r="P9" s="252"/>
      <c r="Q9" s="304"/>
      <c r="R9" s="240"/>
      <c r="S9" s="236"/>
    </row>
    <row r="10" spans="1:19" ht="16.5" thickBot="1" x14ac:dyDescent="0.3">
      <c r="A10" s="526" t="s">
        <v>5</v>
      </c>
      <c r="B10" s="527"/>
      <c r="C10" s="174"/>
      <c r="D10" s="174"/>
      <c r="E10" s="528">
        <f>E6+E8</f>
        <v>1850</v>
      </c>
      <c r="F10" s="529"/>
      <c r="G10" s="174"/>
      <c r="H10" s="174"/>
      <c r="I10" s="250"/>
      <c r="J10" s="250"/>
      <c r="K10" s="251"/>
      <c r="L10" s="251"/>
      <c r="M10" s="251"/>
      <c r="N10" s="251"/>
      <c r="O10" s="251"/>
      <c r="P10" s="252"/>
      <c r="Q10" s="304"/>
      <c r="R10" s="240"/>
      <c r="S10" s="236"/>
    </row>
    <row r="11" spans="1:19" ht="16.5" thickBot="1" x14ac:dyDescent="0.3">
      <c r="A11" s="179"/>
      <c r="B11" s="174"/>
      <c r="C11" s="174"/>
      <c r="D11" s="174"/>
      <c r="E11" s="174"/>
      <c r="F11" s="174"/>
      <c r="G11" s="174"/>
      <c r="H11" s="174"/>
      <c r="I11" s="250"/>
      <c r="J11" s="250"/>
      <c r="K11" s="251"/>
      <c r="L11" s="251"/>
      <c r="M11" s="251"/>
      <c r="N11" s="251"/>
      <c r="O11" s="251"/>
      <c r="P11" s="252"/>
      <c r="Q11" s="304"/>
      <c r="R11" s="240"/>
      <c r="S11" s="236"/>
    </row>
    <row r="12" spans="1:19" ht="16.5" thickBot="1" x14ac:dyDescent="0.3">
      <c r="A12" s="526" t="s">
        <v>6</v>
      </c>
      <c r="B12" s="527"/>
      <c r="C12" s="181">
        <v>0.06</v>
      </c>
      <c r="D12" s="174"/>
      <c r="E12" s="515">
        <f>E10*0.06</f>
        <v>111</v>
      </c>
      <c r="F12" s="522"/>
      <c r="G12" s="174"/>
      <c r="H12" s="174"/>
      <c r="I12" s="250"/>
      <c r="J12" s="250"/>
      <c r="K12" s="251"/>
      <c r="L12" s="251"/>
      <c r="M12" s="251"/>
      <c r="N12" s="251"/>
      <c r="O12" s="252"/>
      <c r="P12" s="252"/>
      <c r="Q12" s="304"/>
      <c r="R12" s="240"/>
      <c r="S12" s="236"/>
    </row>
    <row r="13" spans="1:19" ht="16.5" thickBot="1" x14ac:dyDescent="0.3">
      <c r="A13" s="179"/>
      <c r="B13" s="174"/>
      <c r="C13" s="174"/>
      <c r="D13" s="174"/>
      <c r="E13" s="183"/>
      <c r="F13" s="183"/>
      <c r="G13" s="174"/>
      <c r="H13" s="174"/>
      <c r="I13" s="250"/>
      <c r="J13" s="250"/>
      <c r="K13" s="251"/>
      <c r="L13" s="251"/>
      <c r="M13" s="251"/>
      <c r="N13" s="251"/>
      <c r="O13" s="251"/>
      <c r="P13" s="252"/>
      <c r="Q13" s="304"/>
      <c r="R13" s="240"/>
      <c r="S13" s="236"/>
    </row>
    <row r="14" spans="1:19" ht="16.5" thickBot="1" x14ac:dyDescent="0.3">
      <c r="A14" s="526" t="s">
        <v>7</v>
      </c>
      <c r="B14" s="527"/>
      <c r="C14" s="174"/>
      <c r="D14" s="174"/>
      <c r="E14" s="528">
        <f>E10-E12</f>
        <v>1739</v>
      </c>
      <c r="F14" s="529"/>
      <c r="G14" s="174"/>
      <c r="H14" s="174"/>
      <c r="I14" s="250"/>
      <c r="J14" s="250"/>
      <c r="K14" s="251"/>
      <c r="L14" s="251"/>
      <c r="M14" s="251"/>
      <c r="N14" s="251"/>
      <c r="O14" s="251"/>
      <c r="P14" s="252"/>
      <c r="Q14" s="304"/>
      <c r="R14" s="240"/>
      <c r="S14" s="236"/>
    </row>
    <row r="15" spans="1:19" ht="15.75" x14ac:dyDescent="0.25">
      <c r="A15" s="179"/>
      <c r="B15" s="174"/>
      <c r="C15" s="174"/>
      <c r="D15" s="174"/>
      <c r="E15" s="174"/>
      <c r="F15" s="174"/>
      <c r="G15" s="174"/>
      <c r="H15" s="174"/>
      <c r="I15" s="250"/>
      <c r="J15" s="250"/>
      <c r="K15" s="251"/>
      <c r="L15" s="251"/>
      <c r="M15" s="251"/>
      <c r="N15" s="251"/>
      <c r="O15" s="251"/>
      <c r="P15" s="252"/>
      <c r="Q15" s="304"/>
      <c r="R15" s="240"/>
      <c r="S15" s="236"/>
    </row>
    <row r="16" spans="1:19" ht="15.75" x14ac:dyDescent="0.25">
      <c r="A16" s="179"/>
      <c r="B16" s="179"/>
      <c r="C16" s="179"/>
      <c r="D16" s="179"/>
      <c r="E16" s="179"/>
      <c r="F16" s="179"/>
      <c r="G16" s="179"/>
      <c r="H16" s="179"/>
      <c r="I16" s="250"/>
      <c r="J16" s="250"/>
      <c r="K16" s="250"/>
      <c r="L16" s="250"/>
      <c r="M16" s="250"/>
      <c r="N16" s="250"/>
      <c r="O16" s="250"/>
      <c r="P16" s="252"/>
      <c r="Q16" s="304"/>
      <c r="R16" s="240"/>
      <c r="S16" s="236"/>
    </row>
    <row r="17" spans="1:19" ht="15.75" x14ac:dyDescent="0.25">
      <c r="A17" s="184" t="s">
        <v>33</v>
      </c>
      <c r="B17" s="174"/>
      <c r="C17" s="174"/>
      <c r="D17" s="174"/>
      <c r="E17" s="174"/>
      <c r="F17" s="184" t="s">
        <v>8</v>
      </c>
      <c r="G17" s="174"/>
      <c r="H17" s="174"/>
      <c r="I17" s="250"/>
      <c r="J17" s="250"/>
      <c r="K17" s="250" t="s">
        <v>9</v>
      </c>
      <c r="L17" s="250"/>
      <c r="M17" s="250"/>
      <c r="N17" s="250"/>
      <c r="O17" s="250"/>
      <c r="P17" s="252"/>
      <c r="Q17" s="304"/>
      <c r="R17" s="240"/>
      <c r="S17" s="236"/>
    </row>
    <row r="18" spans="1:19" s="47" customFormat="1" ht="18" x14ac:dyDescent="0.25">
      <c r="B18" s="47">
        <f>E14*0.4</f>
        <v>695.6</v>
      </c>
      <c r="G18" s="47">
        <f>E14*0.2</f>
        <v>347.8</v>
      </c>
      <c r="I18" s="255"/>
      <c r="J18" s="255"/>
      <c r="K18" s="255"/>
      <c r="L18" s="255">
        <f>E14*0.4</f>
        <v>695.6</v>
      </c>
      <c r="M18" s="255"/>
      <c r="N18" s="255"/>
      <c r="O18" s="255"/>
      <c r="P18" s="255">
        <f>SUM(A18:M18)</f>
        <v>1739</v>
      </c>
      <c r="Q18" s="305"/>
      <c r="R18" s="241"/>
      <c r="S18" s="236"/>
    </row>
    <row r="19" spans="1:19" ht="15.75" x14ac:dyDescent="0.25">
      <c r="A19" s="174"/>
      <c r="B19" s="174"/>
      <c r="C19" s="174"/>
      <c r="D19" s="174"/>
      <c r="E19" s="174"/>
      <c r="F19" s="174"/>
      <c r="G19" s="174"/>
      <c r="H19" s="174"/>
      <c r="I19" s="250"/>
      <c r="J19" s="250"/>
      <c r="K19" s="250"/>
      <c r="L19" s="250"/>
      <c r="M19" s="250"/>
      <c r="N19" s="250"/>
      <c r="O19" s="250"/>
      <c r="P19" s="252"/>
      <c r="Q19" s="304"/>
      <c r="R19" s="240"/>
      <c r="S19" s="236"/>
    </row>
    <row r="20" spans="1:19" s="187" customFormat="1" ht="31.5" x14ac:dyDescent="0.25">
      <c r="A20" s="185" t="s">
        <v>10</v>
      </c>
      <c r="B20" s="185" t="s">
        <v>11</v>
      </c>
      <c r="C20" s="185" t="s">
        <v>12</v>
      </c>
      <c r="D20" s="186" t="s">
        <v>13</v>
      </c>
      <c r="E20" s="185" t="s">
        <v>14</v>
      </c>
      <c r="F20" s="185" t="s">
        <v>10</v>
      </c>
      <c r="G20" s="185" t="s">
        <v>11</v>
      </c>
      <c r="H20" s="185" t="s">
        <v>12</v>
      </c>
      <c r="I20" s="256" t="s">
        <v>13</v>
      </c>
      <c r="J20" s="257" t="s">
        <v>14</v>
      </c>
      <c r="K20" s="257" t="s">
        <v>10</v>
      </c>
      <c r="L20" s="257" t="s">
        <v>11</v>
      </c>
      <c r="M20" s="257" t="s">
        <v>12</v>
      </c>
      <c r="N20" s="256" t="s">
        <v>13</v>
      </c>
      <c r="O20" s="257" t="s">
        <v>14</v>
      </c>
      <c r="P20" s="258"/>
      <c r="Q20" s="306"/>
      <c r="R20" s="242"/>
      <c r="S20" s="236"/>
    </row>
    <row r="21" spans="1:19" s="191" customFormat="1" ht="22.5" x14ac:dyDescent="0.2">
      <c r="A21" s="188">
        <v>1</v>
      </c>
      <c r="B21" s="483" t="s">
        <v>237</v>
      </c>
      <c r="C21" s="472">
        <v>16.48</v>
      </c>
      <c r="D21" s="220">
        <f>B18*0.4</f>
        <v>278.24</v>
      </c>
      <c r="E21" s="190"/>
      <c r="F21" s="188">
        <v>1</v>
      </c>
      <c r="G21" s="206" t="s">
        <v>246</v>
      </c>
      <c r="H21" s="189">
        <v>16.425000000000001</v>
      </c>
      <c r="I21" s="220">
        <f>G18*0.4</f>
        <v>139.12</v>
      </c>
      <c r="J21" s="259"/>
      <c r="K21" s="313">
        <v>1</v>
      </c>
      <c r="L21" s="260" t="s">
        <v>246</v>
      </c>
      <c r="M21" s="477">
        <v>33.18</v>
      </c>
      <c r="N21" s="220">
        <f>L18*0.4</f>
        <v>278.24</v>
      </c>
      <c r="O21" s="259"/>
      <c r="P21" s="261"/>
      <c r="Q21" s="307"/>
      <c r="R21" s="237"/>
      <c r="S21" s="236"/>
    </row>
    <row r="22" spans="1:19" s="191" customFormat="1" ht="24" x14ac:dyDescent="0.2">
      <c r="A22" s="192">
        <f>A21+1</f>
        <v>2</v>
      </c>
      <c r="B22" s="483" t="s">
        <v>246</v>
      </c>
      <c r="C22" s="472">
        <v>16.754999999999999</v>
      </c>
      <c r="D22" s="220">
        <f>B18*0.3</f>
        <v>208.68</v>
      </c>
      <c r="E22" s="195"/>
      <c r="F22" s="192">
        <v>2</v>
      </c>
      <c r="G22" s="198" t="s">
        <v>256</v>
      </c>
      <c r="H22" s="194">
        <v>16.681000000000001</v>
      </c>
      <c r="I22" s="115">
        <f>G18*0.3</f>
        <v>104.34</v>
      </c>
      <c r="J22" s="262"/>
      <c r="K22" s="314">
        <v>2</v>
      </c>
      <c r="L22" s="263" t="s">
        <v>251</v>
      </c>
      <c r="M22" s="478">
        <v>33.765000000000001</v>
      </c>
      <c r="N22" s="115">
        <f>L18*0.3</f>
        <v>208.68</v>
      </c>
      <c r="O22" s="262"/>
      <c r="P22" s="261"/>
      <c r="Q22" s="307"/>
      <c r="R22" s="237"/>
      <c r="S22" s="236"/>
    </row>
    <row r="23" spans="1:19" s="191" customFormat="1" ht="22.5" customHeight="1" x14ac:dyDescent="0.2">
      <c r="A23" s="192">
        <f t="shared" ref="A23:A32" si="0">A22+1</f>
        <v>3</v>
      </c>
      <c r="B23" s="483" t="s">
        <v>251</v>
      </c>
      <c r="C23" s="472">
        <v>17.003</v>
      </c>
      <c r="D23" s="220">
        <f>B18*0.2</f>
        <v>139.12</v>
      </c>
      <c r="E23" s="195"/>
      <c r="F23" s="192">
        <v>3</v>
      </c>
      <c r="G23" s="198" t="s">
        <v>251</v>
      </c>
      <c r="H23" s="194">
        <v>16.762</v>
      </c>
      <c r="I23" s="115">
        <f>G18*0.2</f>
        <v>69.56</v>
      </c>
      <c r="J23" s="262"/>
      <c r="K23" s="314">
        <v>3</v>
      </c>
      <c r="L23" s="263" t="s">
        <v>256</v>
      </c>
      <c r="M23" s="478">
        <v>33.874000000000002</v>
      </c>
      <c r="N23" s="115">
        <f>L18*0.2</f>
        <v>139.12</v>
      </c>
      <c r="O23" s="262"/>
      <c r="P23" s="261"/>
      <c r="Q23" s="307"/>
      <c r="R23" s="237"/>
      <c r="S23" s="236"/>
    </row>
    <row r="24" spans="1:19" s="191" customFormat="1" ht="22.5" x14ac:dyDescent="0.2">
      <c r="A24" s="192">
        <f t="shared" si="0"/>
        <v>4</v>
      </c>
      <c r="B24" s="483" t="s">
        <v>238</v>
      </c>
      <c r="C24" s="472">
        <v>17.167999999999999</v>
      </c>
      <c r="D24" s="220">
        <f>B18*0.1</f>
        <v>69.56</v>
      </c>
      <c r="E24" s="195"/>
      <c r="F24" s="192">
        <v>4</v>
      </c>
      <c r="G24" s="198" t="s">
        <v>238</v>
      </c>
      <c r="H24" s="194">
        <v>16.939</v>
      </c>
      <c r="I24" s="115">
        <f>G18*0.1</f>
        <v>34.78</v>
      </c>
      <c r="J24" s="262"/>
      <c r="K24" s="314">
        <v>4</v>
      </c>
      <c r="L24" s="263" t="s">
        <v>238</v>
      </c>
      <c r="M24" s="478">
        <v>34.106999999999999</v>
      </c>
      <c r="N24" s="115">
        <f>L18*0.1</f>
        <v>69.56</v>
      </c>
      <c r="O24" s="262"/>
      <c r="P24" s="261"/>
      <c r="Q24" s="307"/>
      <c r="R24" s="237"/>
      <c r="S24" s="236"/>
    </row>
    <row r="25" spans="1:19" s="191" customFormat="1" ht="22.5" x14ac:dyDescent="0.2">
      <c r="A25" s="192">
        <f t="shared" si="0"/>
        <v>5</v>
      </c>
      <c r="B25" s="193"/>
      <c r="C25" s="194"/>
      <c r="D25" s="115"/>
      <c r="E25" s="195"/>
      <c r="F25" s="192">
        <v>5</v>
      </c>
      <c r="G25" s="198"/>
      <c r="H25" s="194"/>
      <c r="I25" s="115"/>
      <c r="J25" s="262"/>
      <c r="K25" s="314">
        <v>5</v>
      </c>
      <c r="L25" s="263"/>
      <c r="M25" s="478"/>
      <c r="N25" s="115"/>
      <c r="O25" s="262"/>
      <c r="P25" s="261"/>
      <c r="Q25" s="307"/>
      <c r="R25" s="237"/>
      <c r="S25" s="236"/>
    </row>
    <row r="26" spans="1:19" s="191" customFormat="1" ht="22.5" x14ac:dyDescent="0.2">
      <c r="A26" s="192">
        <f t="shared" si="0"/>
        <v>6</v>
      </c>
      <c r="B26" s="193"/>
      <c r="C26" s="194"/>
      <c r="D26" s="115"/>
      <c r="E26" s="195"/>
      <c r="F26" s="192">
        <v>6</v>
      </c>
      <c r="G26" s="198"/>
      <c r="H26" s="194"/>
      <c r="I26" s="115"/>
      <c r="J26" s="262"/>
      <c r="K26" s="314">
        <v>6</v>
      </c>
      <c r="L26" s="263"/>
      <c r="M26" s="478"/>
      <c r="N26" s="115"/>
      <c r="O26" s="262"/>
      <c r="P26" s="261"/>
      <c r="Q26" s="307"/>
      <c r="R26" s="237"/>
      <c r="S26" s="236"/>
    </row>
    <row r="27" spans="1:19" s="191" customFormat="1" ht="22.5" x14ac:dyDescent="0.2">
      <c r="A27" s="192">
        <f t="shared" si="0"/>
        <v>7</v>
      </c>
      <c r="B27" s="198"/>
      <c r="C27" s="194"/>
      <c r="D27" s="115"/>
      <c r="E27" s="195"/>
      <c r="F27" s="192">
        <v>7</v>
      </c>
      <c r="G27" s="198"/>
      <c r="H27" s="194"/>
      <c r="I27" s="115"/>
      <c r="J27" s="262"/>
      <c r="K27" s="314">
        <v>7</v>
      </c>
      <c r="L27" s="263"/>
      <c r="M27" s="478"/>
      <c r="N27" s="115"/>
      <c r="O27" s="262"/>
      <c r="P27" s="261"/>
      <c r="Q27" s="307"/>
      <c r="R27" s="237"/>
      <c r="S27" s="236"/>
    </row>
    <row r="28" spans="1:19" s="191" customFormat="1" ht="22.5" x14ac:dyDescent="0.2">
      <c r="A28" s="192">
        <f t="shared" si="0"/>
        <v>8</v>
      </c>
      <c r="B28" s="198"/>
      <c r="C28" s="194"/>
      <c r="D28" s="115"/>
      <c r="E28" s="195"/>
      <c r="F28" s="192">
        <v>8</v>
      </c>
      <c r="G28" s="196"/>
      <c r="H28" s="197"/>
      <c r="I28" s="224"/>
      <c r="J28" s="262"/>
      <c r="K28" s="314">
        <v>8</v>
      </c>
      <c r="L28" s="265"/>
      <c r="M28" s="266"/>
      <c r="N28" s="224"/>
      <c r="O28" s="262"/>
      <c r="P28" s="261"/>
      <c r="Q28" s="307"/>
      <c r="R28" s="237"/>
      <c r="S28" s="236"/>
    </row>
    <row r="29" spans="1:19" s="191" customFormat="1" ht="22.5" x14ac:dyDescent="0.2">
      <c r="A29" s="192">
        <f t="shared" si="0"/>
        <v>9</v>
      </c>
      <c r="B29" s="198"/>
      <c r="C29" s="194"/>
      <c r="D29" s="115"/>
      <c r="E29" s="195"/>
      <c r="F29" s="192">
        <v>9</v>
      </c>
      <c r="G29" s="196"/>
      <c r="H29" s="197"/>
      <c r="I29" s="224"/>
      <c r="J29" s="262"/>
      <c r="K29" s="314">
        <v>9</v>
      </c>
      <c r="L29" s="265"/>
      <c r="M29" s="266"/>
      <c r="N29" s="224"/>
      <c r="O29" s="262"/>
      <c r="P29" s="261"/>
      <c r="Q29" s="307"/>
      <c r="R29" s="237"/>
      <c r="S29" s="236"/>
    </row>
    <row r="30" spans="1:19" s="191" customFormat="1" ht="22.5" x14ac:dyDescent="0.2">
      <c r="A30" s="192">
        <f t="shared" si="0"/>
        <v>10</v>
      </c>
      <c r="B30" s="198"/>
      <c r="C30" s="194"/>
      <c r="D30" s="221"/>
      <c r="E30" s="195"/>
      <c r="F30" s="192">
        <v>10</v>
      </c>
      <c r="G30" s="196"/>
      <c r="H30" s="197"/>
      <c r="I30" s="224"/>
      <c r="J30" s="262"/>
      <c r="K30" s="314">
        <v>10</v>
      </c>
      <c r="L30" s="265"/>
      <c r="M30" s="266"/>
      <c r="N30" s="224"/>
      <c r="O30" s="262"/>
      <c r="P30" s="261"/>
      <c r="Q30" s="307"/>
      <c r="R30" s="237"/>
      <c r="S30" s="236"/>
    </row>
    <row r="31" spans="1:19" s="191" customFormat="1" ht="22.5" x14ac:dyDescent="0.2">
      <c r="A31" s="192">
        <f t="shared" si="0"/>
        <v>11</v>
      </c>
      <c r="B31" s="199"/>
      <c r="C31" s="199"/>
      <c r="D31" s="200"/>
      <c r="E31" s="195"/>
      <c r="F31" s="192">
        <v>11</v>
      </c>
      <c r="G31" s="201"/>
      <c r="H31" s="201"/>
      <c r="I31" s="224"/>
      <c r="J31" s="262"/>
      <c r="K31" s="314">
        <v>11</v>
      </c>
      <c r="L31" s="264"/>
      <c r="M31" s="264"/>
      <c r="N31" s="224"/>
      <c r="O31" s="262"/>
      <c r="P31" s="261"/>
      <c r="Q31" s="307"/>
      <c r="R31" s="237"/>
      <c r="S31" s="236"/>
    </row>
    <row r="32" spans="1:19" s="191" customFormat="1" ht="22.5" x14ac:dyDescent="0.2">
      <c r="A32" s="192">
        <f t="shared" si="0"/>
        <v>12</v>
      </c>
      <c r="B32" s="199"/>
      <c r="C32" s="199"/>
      <c r="D32" s="200"/>
      <c r="E32" s="195"/>
      <c r="F32" s="192">
        <v>12</v>
      </c>
      <c r="G32" s="201"/>
      <c r="H32" s="201"/>
      <c r="I32" s="224"/>
      <c r="J32" s="262"/>
      <c r="K32" s="314">
        <v>12</v>
      </c>
      <c r="L32" s="264"/>
      <c r="M32" s="264"/>
      <c r="N32" s="224"/>
      <c r="O32" s="262"/>
      <c r="P32" s="261"/>
      <c r="Q32" s="307"/>
      <c r="R32" s="237"/>
      <c r="S32" s="236"/>
    </row>
    <row r="33" spans="1:19" ht="15.75" x14ac:dyDescent="0.25">
      <c r="A33" s="202"/>
      <c r="D33" s="203">
        <f>SUM(D21:D32)</f>
        <v>695.59999999999991</v>
      </c>
      <c r="F33" s="174"/>
      <c r="I33" s="252">
        <f>SUM(I21:I32)</f>
        <v>347.79999999999995</v>
      </c>
      <c r="J33" s="252"/>
      <c r="K33" s="252"/>
      <c r="L33" s="252"/>
      <c r="M33" s="252"/>
      <c r="N33" s="252">
        <f>SUM(N21:N32)</f>
        <v>695.59999999999991</v>
      </c>
      <c r="O33" s="252"/>
      <c r="P33" s="252">
        <f>SUM(D33:N33)</f>
        <v>1738.9999999999998</v>
      </c>
      <c r="Q33" s="304"/>
      <c r="R33" s="240"/>
      <c r="S33" s="236"/>
    </row>
    <row r="34" spans="1:19" s="204" customFormat="1" ht="12.75" customHeight="1" x14ac:dyDescent="0.2">
      <c r="A34" s="536"/>
      <c r="B34" s="536"/>
      <c r="C34" s="536"/>
      <c r="D34" s="536"/>
      <c r="E34" s="536"/>
      <c r="F34" s="536"/>
      <c r="G34" s="536"/>
      <c r="H34" s="536"/>
      <c r="I34" s="531"/>
      <c r="J34" s="531"/>
      <c r="K34" s="531"/>
      <c r="L34" s="531"/>
      <c r="M34" s="531"/>
      <c r="N34" s="531"/>
      <c r="O34" s="531"/>
      <c r="P34" s="267"/>
      <c r="Q34" s="212"/>
      <c r="R34" s="243"/>
      <c r="S34" s="236"/>
    </row>
    <row r="35" spans="1:19" s="204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67"/>
      <c r="Q35" s="212"/>
      <c r="R35" s="243"/>
      <c r="S35" s="236"/>
    </row>
    <row r="36" spans="1:19" s="204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67"/>
      <c r="Q36" s="212"/>
      <c r="R36" s="243"/>
      <c r="S36" s="236"/>
    </row>
    <row r="37" spans="1:19" s="204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52"/>
      <c r="Q37" s="212"/>
      <c r="R37" s="243"/>
      <c r="S37" s="236"/>
    </row>
    <row r="38" spans="1:19" s="204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67"/>
      <c r="Q38" s="212"/>
      <c r="R38" s="243"/>
      <c r="S38" s="236"/>
    </row>
    <row r="39" spans="1:19" s="204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52"/>
      <c r="Q39" s="212"/>
      <c r="R39" s="243"/>
      <c r="S39" s="236"/>
    </row>
    <row r="40" spans="1:19" x14ac:dyDescent="0.2">
      <c r="I40" s="252"/>
      <c r="J40" s="252"/>
      <c r="K40" s="252"/>
      <c r="L40" s="252"/>
      <c r="M40" s="252"/>
      <c r="N40" s="252"/>
      <c r="O40" s="252"/>
      <c r="P40" s="252"/>
      <c r="Q40" s="304"/>
      <c r="R40" s="240"/>
      <c r="S40" s="236"/>
    </row>
    <row r="41" spans="1:19" x14ac:dyDescent="0.2">
      <c r="I41" s="252"/>
      <c r="J41" s="252"/>
      <c r="K41" s="252"/>
      <c r="L41" s="252"/>
      <c r="M41" s="252"/>
      <c r="N41" s="252"/>
      <c r="O41" s="252"/>
      <c r="P41" s="252"/>
      <c r="Q41" s="304"/>
      <c r="R41" s="240"/>
      <c r="S41" s="236"/>
    </row>
    <row r="42" spans="1:19" x14ac:dyDescent="0.2">
      <c r="I42" s="252"/>
      <c r="J42" s="252"/>
      <c r="K42" s="252"/>
      <c r="L42" s="252"/>
      <c r="M42" s="252"/>
      <c r="N42" s="252"/>
      <c r="O42" s="252"/>
      <c r="P42" s="252"/>
      <c r="Q42" s="304"/>
      <c r="R42" s="240"/>
      <c r="S42" s="236"/>
    </row>
    <row r="43" spans="1:19" x14ac:dyDescent="0.2">
      <c r="I43" s="252"/>
      <c r="J43" s="252"/>
      <c r="K43" s="252"/>
      <c r="L43" s="252"/>
      <c r="M43" s="252"/>
      <c r="N43" s="252"/>
      <c r="O43" s="252"/>
      <c r="P43" s="252"/>
      <c r="Q43" s="304"/>
      <c r="R43" s="240"/>
      <c r="S43" s="236"/>
    </row>
    <row r="44" spans="1:19" x14ac:dyDescent="0.2">
      <c r="I44" s="252"/>
      <c r="J44" s="252"/>
      <c r="K44" s="252"/>
      <c r="L44" s="252"/>
      <c r="M44" s="252"/>
      <c r="N44" s="252"/>
      <c r="O44" s="252"/>
      <c r="P44" s="252"/>
      <c r="Q44" s="304"/>
      <c r="R44" s="240"/>
      <c r="S44" s="236"/>
    </row>
    <row r="45" spans="1:19" x14ac:dyDescent="0.2">
      <c r="I45" s="252"/>
      <c r="J45" s="252"/>
      <c r="K45" s="252"/>
      <c r="L45" s="252"/>
      <c r="M45" s="252"/>
      <c r="N45" s="252"/>
      <c r="O45" s="252"/>
      <c r="P45" s="252"/>
      <c r="Q45" s="304"/>
      <c r="R45" s="240"/>
      <c r="S45" s="236"/>
    </row>
    <row r="46" spans="1:19" x14ac:dyDescent="0.2">
      <c r="I46" s="252"/>
      <c r="J46" s="252"/>
      <c r="K46" s="252"/>
      <c r="L46" s="252"/>
      <c r="M46" s="252"/>
      <c r="N46" s="252"/>
      <c r="O46" s="252"/>
      <c r="P46" s="252"/>
      <c r="Q46" s="304"/>
      <c r="R46" s="240"/>
      <c r="S46" s="236"/>
    </row>
    <row r="47" spans="1:19" x14ac:dyDescent="0.2">
      <c r="I47" s="252"/>
      <c r="J47" s="252"/>
      <c r="K47" s="252"/>
      <c r="L47" s="252"/>
      <c r="M47" s="252"/>
      <c r="N47" s="252"/>
      <c r="O47" s="252"/>
      <c r="P47" s="252"/>
      <c r="Q47" s="304"/>
      <c r="R47" s="240"/>
      <c r="S47" s="236"/>
    </row>
    <row r="48" spans="1:19" x14ac:dyDescent="0.2">
      <c r="I48" s="252"/>
      <c r="J48" s="252"/>
      <c r="K48" s="252"/>
      <c r="L48" s="252"/>
      <c r="M48" s="252"/>
      <c r="N48" s="252"/>
      <c r="O48" s="252"/>
      <c r="P48" s="252"/>
      <c r="Q48" s="304"/>
      <c r="R48" s="240"/>
      <c r="S48" s="236"/>
    </row>
    <row r="49" spans="9:19" x14ac:dyDescent="0.2">
      <c r="I49" s="252"/>
      <c r="J49" s="252"/>
      <c r="K49" s="252"/>
      <c r="L49" s="252"/>
      <c r="M49" s="252"/>
      <c r="N49" s="252"/>
      <c r="O49" s="252"/>
      <c r="P49" s="252"/>
      <c r="Q49" s="304"/>
      <c r="R49" s="240"/>
      <c r="S49" s="236"/>
    </row>
    <row r="50" spans="9:19" x14ac:dyDescent="0.2">
      <c r="I50" s="252"/>
      <c r="J50" s="252"/>
      <c r="K50" s="252"/>
      <c r="L50" s="252"/>
      <c r="M50" s="252"/>
      <c r="N50" s="252"/>
      <c r="O50" s="252"/>
      <c r="P50" s="252"/>
      <c r="Q50" s="304"/>
      <c r="R50" s="240"/>
      <c r="S50" s="236"/>
    </row>
    <row r="51" spans="9:19" x14ac:dyDescent="0.2">
      <c r="I51" s="253"/>
      <c r="J51" s="253"/>
      <c r="K51" s="253"/>
      <c r="L51" s="253"/>
      <c r="M51" s="253"/>
      <c r="N51" s="253"/>
      <c r="O51" s="253"/>
      <c r="P51" s="253"/>
      <c r="Q51" s="304"/>
    </row>
  </sheetData>
  <mergeCells count="21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8:O38"/>
    <mergeCell ref="A39:O39"/>
    <mergeCell ref="A14:B14"/>
    <mergeCell ref="E14:F14"/>
    <mergeCell ref="A34:O34"/>
    <mergeCell ref="A35:O35"/>
    <mergeCell ref="A36:O36"/>
    <mergeCell ref="A37:O37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1"/>
  <sheetViews>
    <sheetView view="pageBreakPreview" zoomScaleNormal="100" zoomScaleSheetLayoutView="100" workbookViewId="0">
      <selection activeCell="L21" sqref="L21:M24"/>
    </sheetView>
  </sheetViews>
  <sheetFormatPr defaultColWidth="9.140625" defaultRowHeight="12.75" x14ac:dyDescent="0.2"/>
  <cols>
    <col min="1" max="1" width="6" style="168" customWidth="1"/>
    <col min="2" max="2" width="28.140625" style="168" customWidth="1"/>
    <col min="3" max="3" width="11" style="168" customWidth="1"/>
    <col min="4" max="4" width="12" style="168" bestFit="1" customWidth="1"/>
    <col min="5" max="5" width="9.5703125" style="168" customWidth="1"/>
    <col min="6" max="6" width="6" style="168" customWidth="1"/>
    <col min="7" max="7" width="23.7109375" style="168" customWidth="1"/>
    <col min="8" max="8" width="9.28515625" style="168" customWidth="1"/>
    <col min="9" max="9" width="12" style="168" bestFit="1" customWidth="1"/>
    <col min="10" max="10" width="9.5703125" style="168" customWidth="1"/>
    <col min="11" max="11" width="6" style="168" customWidth="1"/>
    <col min="12" max="12" width="23.7109375" style="168" customWidth="1"/>
    <col min="13" max="13" width="9.28515625" style="168" customWidth="1"/>
    <col min="14" max="14" width="12" style="168" bestFit="1" customWidth="1"/>
    <col min="15" max="15" width="9.5703125" style="168" customWidth="1"/>
    <col min="16" max="16" width="13.140625" style="168" bestFit="1" customWidth="1"/>
    <col min="17" max="17" width="9.140625" style="210"/>
    <col min="18" max="18" width="9.140625" style="213"/>
    <col min="19" max="16384" width="9.140625" style="168"/>
  </cols>
  <sheetData>
    <row r="1" spans="1:19" s="166" customFormat="1" ht="22.5" x14ac:dyDescent="0.3">
      <c r="A1" s="532" t="s">
        <v>43</v>
      </c>
      <c r="B1" s="532"/>
      <c r="C1" s="533" t="s">
        <v>184</v>
      </c>
      <c r="D1" s="533"/>
      <c r="E1" s="533"/>
      <c r="F1" s="533"/>
      <c r="G1" s="533"/>
      <c r="H1" s="533"/>
      <c r="K1" s="167"/>
      <c r="L1" s="225"/>
      <c r="M1" s="534"/>
      <c r="N1" s="534"/>
      <c r="O1" s="534"/>
      <c r="Q1" s="303"/>
      <c r="R1" s="301"/>
    </row>
    <row r="2" spans="1:19" x14ac:dyDescent="0.2">
      <c r="K2" s="169"/>
      <c r="L2" s="170"/>
      <c r="M2" s="171"/>
      <c r="N2" s="170"/>
      <c r="O2" s="169"/>
    </row>
    <row r="3" spans="1:19" ht="25.5" x14ac:dyDescent="0.35">
      <c r="A3" s="535" t="s">
        <v>0</v>
      </c>
      <c r="B3" s="526"/>
      <c r="C3" s="172" t="s">
        <v>108</v>
      </c>
      <c r="D3" s="173"/>
      <c r="E3" s="173"/>
      <c r="F3" s="173"/>
      <c r="G3" s="173"/>
      <c r="H3" s="174"/>
      <c r="I3" s="174"/>
      <c r="J3" s="174"/>
      <c r="K3" s="169"/>
      <c r="L3" s="170"/>
      <c r="M3" s="171"/>
      <c r="N3" s="170"/>
      <c r="O3" s="175"/>
    </row>
    <row r="4" spans="1:19" ht="16.5" thickBot="1" x14ac:dyDescent="0.3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69"/>
      <c r="L4" s="170"/>
      <c r="M4" s="171"/>
      <c r="N4" s="170"/>
      <c r="O4" s="175"/>
    </row>
    <row r="5" spans="1:19" ht="16.5" thickBot="1" x14ac:dyDescent="0.3">
      <c r="A5" s="526" t="s">
        <v>1</v>
      </c>
      <c r="B5" s="527"/>
      <c r="C5" s="176">
        <v>15</v>
      </c>
      <c r="D5" s="174"/>
      <c r="E5" s="174"/>
      <c r="F5" s="174"/>
      <c r="G5" s="174"/>
      <c r="H5" s="174"/>
      <c r="I5" s="174"/>
      <c r="J5" s="174"/>
      <c r="K5" s="177"/>
      <c r="L5" s="170"/>
      <c r="M5" s="171"/>
      <c r="N5" s="170"/>
      <c r="O5" s="175"/>
    </row>
    <row r="6" spans="1:19" ht="16.5" thickBot="1" x14ac:dyDescent="0.3">
      <c r="A6" s="526" t="s">
        <v>2</v>
      </c>
      <c r="B6" s="526"/>
      <c r="C6" s="38">
        <v>50</v>
      </c>
      <c r="D6" s="178" t="s">
        <v>3</v>
      </c>
      <c r="E6" s="515">
        <f>SUM(C5*C6)</f>
        <v>750</v>
      </c>
      <c r="F6" s="529"/>
      <c r="G6" s="174"/>
      <c r="H6" s="174"/>
      <c r="I6" s="250"/>
      <c r="J6" s="250"/>
      <c r="K6" s="251"/>
      <c r="L6" s="251"/>
      <c r="M6" s="251"/>
      <c r="N6" s="251"/>
      <c r="O6" s="251"/>
      <c r="P6" s="252"/>
      <c r="Q6" s="304"/>
      <c r="R6" s="240"/>
      <c r="S6" s="236"/>
    </row>
    <row r="7" spans="1:19" ht="16.5" thickBot="1" x14ac:dyDescent="0.3">
      <c r="A7" s="179"/>
      <c r="B7" s="179"/>
      <c r="C7" s="40"/>
      <c r="D7" s="178"/>
      <c r="E7" s="41"/>
      <c r="F7" s="180"/>
      <c r="G7" s="174"/>
      <c r="H7" s="174"/>
      <c r="I7" s="250"/>
      <c r="J7" s="250"/>
      <c r="K7" s="251"/>
      <c r="L7" s="251"/>
      <c r="M7" s="251"/>
      <c r="N7" s="251"/>
      <c r="O7" s="251"/>
      <c r="P7" s="252"/>
      <c r="Q7" s="304"/>
      <c r="R7" s="240"/>
      <c r="S7" s="236"/>
    </row>
    <row r="8" spans="1:19" ht="16.5" thickBot="1" x14ac:dyDescent="0.3">
      <c r="A8" s="526" t="s">
        <v>4</v>
      </c>
      <c r="B8" s="527"/>
      <c r="C8" s="181"/>
      <c r="D8" s="174"/>
      <c r="E8" s="528">
        <v>1000</v>
      </c>
      <c r="F8" s="529"/>
      <c r="G8" s="174"/>
      <c r="H8" s="174"/>
      <c r="I8" s="250"/>
      <c r="J8" s="250"/>
      <c r="K8" s="251"/>
      <c r="L8" s="254"/>
      <c r="M8" s="251"/>
      <c r="N8" s="251"/>
      <c r="O8" s="251"/>
      <c r="P8" s="252"/>
      <c r="Q8" s="304"/>
      <c r="R8" s="240"/>
      <c r="S8" s="236"/>
    </row>
    <row r="9" spans="1:19" ht="16.5" thickBot="1" x14ac:dyDescent="0.3">
      <c r="A9" s="179"/>
      <c r="B9" s="174"/>
      <c r="C9" s="174"/>
      <c r="D9" s="174"/>
      <c r="E9" s="174"/>
      <c r="F9" s="174"/>
      <c r="G9" s="174"/>
      <c r="H9" s="174"/>
      <c r="I9" s="250"/>
      <c r="J9" s="250"/>
      <c r="K9" s="251"/>
      <c r="L9" s="251"/>
      <c r="M9" s="251"/>
      <c r="N9" s="251"/>
      <c r="O9" s="251"/>
      <c r="P9" s="252"/>
      <c r="Q9" s="304"/>
      <c r="R9" s="240"/>
      <c r="S9" s="236"/>
    </row>
    <row r="10" spans="1:19" ht="16.5" thickBot="1" x14ac:dyDescent="0.3">
      <c r="A10" s="526" t="s">
        <v>5</v>
      </c>
      <c r="B10" s="527"/>
      <c r="C10" s="174"/>
      <c r="D10" s="174"/>
      <c r="E10" s="528">
        <f>E6+E8</f>
        <v>1750</v>
      </c>
      <c r="F10" s="529"/>
      <c r="G10" s="174"/>
      <c r="H10" s="174"/>
      <c r="I10" s="250"/>
      <c r="J10" s="250"/>
      <c r="K10" s="251"/>
      <c r="L10" s="251"/>
      <c r="M10" s="251"/>
      <c r="N10" s="251"/>
      <c r="O10" s="251"/>
      <c r="P10" s="252"/>
      <c r="Q10" s="304"/>
      <c r="R10" s="240"/>
      <c r="S10" s="236"/>
    </row>
    <row r="11" spans="1:19" ht="16.5" thickBot="1" x14ac:dyDescent="0.3">
      <c r="A11" s="179"/>
      <c r="B11" s="174"/>
      <c r="C11" s="174"/>
      <c r="D11" s="174"/>
      <c r="E11" s="174"/>
      <c r="F11" s="174"/>
      <c r="G11" s="174"/>
      <c r="H11" s="174"/>
      <c r="I11" s="250"/>
      <c r="J11" s="250"/>
      <c r="K11" s="251"/>
      <c r="L11" s="251"/>
      <c r="M11" s="251"/>
      <c r="N11" s="251"/>
      <c r="O11" s="251"/>
      <c r="P11" s="252"/>
      <c r="Q11" s="304"/>
      <c r="R11" s="240"/>
      <c r="S11" s="236"/>
    </row>
    <row r="12" spans="1:19" ht="16.5" thickBot="1" x14ac:dyDescent="0.3">
      <c r="A12" s="526" t="s">
        <v>6</v>
      </c>
      <c r="B12" s="527"/>
      <c r="C12" s="181">
        <v>0.06</v>
      </c>
      <c r="D12" s="174"/>
      <c r="E12" s="515">
        <f>E10*0.06</f>
        <v>105</v>
      </c>
      <c r="F12" s="522"/>
      <c r="G12" s="174"/>
      <c r="H12" s="174"/>
      <c r="I12" s="250"/>
      <c r="J12" s="250"/>
      <c r="K12" s="251"/>
      <c r="L12" s="251"/>
      <c r="M12" s="251"/>
      <c r="N12" s="251"/>
      <c r="O12" s="251"/>
      <c r="P12" s="252"/>
      <c r="Q12" s="304"/>
      <c r="R12" s="240"/>
      <c r="S12" s="236"/>
    </row>
    <row r="13" spans="1:19" ht="16.5" thickBot="1" x14ac:dyDescent="0.3">
      <c r="A13" s="179"/>
      <c r="B13" s="174"/>
      <c r="C13" s="174"/>
      <c r="D13" s="174"/>
      <c r="E13" s="183"/>
      <c r="F13" s="183"/>
      <c r="G13" s="174"/>
      <c r="H13" s="174"/>
      <c r="I13" s="250"/>
      <c r="J13" s="250"/>
      <c r="K13" s="251"/>
      <c r="L13" s="251"/>
      <c r="M13" s="251"/>
      <c r="N13" s="251"/>
      <c r="O13" s="251"/>
      <c r="P13" s="252"/>
      <c r="Q13" s="304"/>
      <c r="R13" s="240"/>
      <c r="S13" s="236"/>
    </row>
    <row r="14" spans="1:19" ht="16.5" thickBot="1" x14ac:dyDescent="0.3">
      <c r="A14" s="526" t="s">
        <v>7</v>
      </c>
      <c r="B14" s="527"/>
      <c r="C14" s="174"/>
      <c r="D14" s="174"/>
      <c r="E14" s="528">
        <f>E10-E12</f>
        <v>1645</v>
      </c>
      <c r="F14" s="529"/>
      <c r="G14" s="174"/>
      <c r="H14" s="174"/>
      <c r="I14" s="250"/>
      <c r="J14" s="250"/>
      <c r="K14" s="251"/>
      <c r="L14" s="251"/>
      <c r="M14" s="251"/>
      <c r="N14" s="251"/>
      <c r="O14" s="251"/>
      <c r="P14" s="252"/>
      <c r="Q14" s="304"/>
      <c r="R14" s="240"/>
      <c r="S14" s="236"/>
    </row>
    <row r="15" spans="1:19" ht="15.75" x14ac:dyDescent="0.25">
      <c r="A15" s="179"/>
      <c r="B15" s="174"/>
      <c r="C15" s="174"/>
      <c r="D15" s="174"/>
      <c r="E15" s="174"/>
      <c r="F15" s="174"/>
      <c r="G15" s="174"/>
      <c r="H15" s="174"/>
      <c r="I15" s="250"/>
      <c r="J15" s="250"/>
      <c r="K15" s="251"/>
      <c r="L15" s="251"/>
      <c r="M15" s="251"/>
      <c r="N15" s="251"/>
      <c r="O15" s="251"/>
      <c r="P15" s="252"/>
      <c r="Q15" s="304"/>
      <c r="R15" s="240"/>
      <c r="S15" s="236"/>
    </row>
    <row r="16" spans="1:19" ht="15.75" x14ac:dyDescent="0.25">
      <c r="A16" s="179"/>
      <c r="B16" s="179"/>
      <c r="C16" s="179"/>
      <c r="D16" s="179"/>
      <c r="E16" s="179"/>
      <c r="F16" s="179"/>
      <c r="G16" s="179"/>
      <c r="H16" s="179"/>
      <c r="I16" s="250"/>
      <c r="J16" s="250"/>
      <c r="K16" s="250"/>
      <c r="L16" s="250"/>
      <c r="M16" s="250"/>
      <c r="N16" s="250"/>
      <c r="O16" s="250"/>
      <c r="P16" s="252"/>
      <c r="Q16" s="304"/>
      <c r="R16" s="240"/>
      <c r="S16" s="236"/>
    </row>
    <row r="17" spans="1:19" ht="15.75" x14ac:dyDescent="0.25">
      <c r="A17" s="184" t="s">
        <v>33</v>
      </c>
      <c r="B17" s="174"/>
      <c r="C17" s="174"/>
      <c r="D17" s="174"/>
      <c r="E17" s="174"/>
      <c r="F17" s="184" t="s">
        <v>8</v>
      </c>
      <c r="G17" s="174"/>
      <c r="H17" s="174"/>
      <c r="I17" s="250"/>
      <c r="J17" s="250"/>
      <c r="K17" s="250" t="s">
        <v>9</v>
      </c>
      <c r="L17" s="250"/>
      <c r="M17" s="250"/>
      <c r="N17" s="250"/>
      <c r="O17" s="250"/>
      <c r="P17" s="252"/>
      <c r="Q17" s="304"/>
      <c r="R17" s="240"/>
      <c r="S17" s="236"/>
    </row>
    <row r="18" spans="1:19" s="47" customFormat="1" ht="18" x14ac:dyDescent="0.25">
      <c r="B18" s="47">
        <f>E14*0.4</f>
        <v>658</v>
      </c>
      <c r="G18" s="47">
        <f>E14*0.2</f>
        <v>329</v>
      </c>
      <c r="I18" s="255"/>
      <c r="J18" s="255"/>
      <c r="K18" s="255"/>
      <c r="L18" s="255">
        <f>E14*0.4</f>
        <v>658</v>
      </c>
      <c r="M18" s="255"/>
      <c r="N18" s="255"/>
      <c r="O18" s="255"/>
      <c r="P18" s="255">
        <f>SUM(A18:M18)</f>
        <v>1645</v>
      </c>
      <c r="Q18" s="305"/>
      <c r="R18" s="241"/>
      <c r="S18" s="236"/>
    </row>
    <row r="19" spans="1:19" ht="15.75" x14ac:dyDescent="0.25">
      <c r="A19" s="174"/>
      <c r="B19" s="174"/>
      <c r="C19" s="174"/>
      <c r="D19" s="174"/>
      <c r="E19" s="174"/>
      <c r="F19" s="174"/>
      <c r="G19" s="174"/>
      <c r="H19" s="174"/>
      <c r="I19" s="250"/>
      <c r="J19" s="250"/>
      <c r="K19" s="250"/>
      <c r="L19" s="250"/>
      <c r="M19" s="250"/>
      <c r="N19" s="250"/>
      <c r="O19" s="250"/>
      <c r="P19" s="252"/>
      <c r="Q19" s="304"/>
      <c r="R19" s="240"/>
      <c r="S19" s="236"/>
    </row>
    <row r="20" spans="1:19" s="187" customFormat="1" ht="31.5" x14ac:dyDescent="0.25">
      <c r="A20" s="185" t="s">
        <v>10</v>
      </c>
      <c r="B20" s="185" t="s">
        <v>11</v>
      </c>
      <c r="C20" s="185" t="s">
        <v>12</v>
      </c>
      <c r="D20" s="186" t="s">
        <v>13</v>
      </c>
      <c r="E20" s="185" t="s">
        <v>14</v>
      </c>
      <c r="F20" s="185" t="s">
        <v>10</v>
      </c>
      <c r="G20" s="185" t="s">
        <v>11</v>
      </c>
      <c r="H20" s="185" t="s">
        <v>12</v>
      </c>
      <c r="I20" s="256" t="s">
        <v>13</v>
      </c>
      <c r="J20" s="257" t="s">
        <v>14</v>
      </c>
      <c r="K20" s="257" t="s">
        <v>10</v>
      </c>
      <c r="L20" s="257" t="s">
        <v>11</v>
      </c>
      <c r="M20" s="257" t="s">
        <v>12</v>
      </c>
      <c r="N20" s="256" t="s">
        <v>13</v>
      </c>
      <c r="O20" s="257" t="s">
        <v>14</v>
      </c>
      <c r="P20" s="258"/>
      <c r="Q20" s="306"/>
      <c r="R20" s="242"/>
      <c r="S20" s="236"/>
    </row>
    <row r="21" spans="1:19" s="191" customFormat="1" ht="24" x14ac:dyDescent="0.2">
      <c r="A21" s="205">
        <v>1</v>
      </c>
      <c r="B21" s="483" t="s">
        <v>237</v>
      </c>
      <c r="C21" s="472">
        <v>3.53</v>
      </c>
      <c r="D21" s="115">
        <f>B18*0.4</f>
        <v>263.2</v>
      </c>
      <c r="E21" s="190"/>
      <c r="F21" s="188">
        <v>1</v>
      </c>
      <c r="G21" s="483" t="s">
        <v>236</v>
      </c>
      <c r="H21" s="472">
        <v>3.31</v>
      </c>
      <c r="I21" s="220">
        <f>G18*0.4</f>
        <v>131.6</v>
      </c>
      <c r="J21" s="259"/>
      <c r="K21" s="313">
        <v>1</v>
      </c>
      <c r="L21" s="483" t="s">
        <v>237</v>
      </c>
      <c r="M21" s="472">
        <v>7.07</v>
      </c>
      <c r="N21" s="220">
        <f>L18*0.4</f>
        <v>263.2</v>
      </c>
      <c r="O21" s="259"/>
      <c r="P21" s="261"/>
      <c r="Q21" s="307"/>
      <c r="R21" s="237"/>
      <c r="S21" s="236"/>
    </row>
    <row r="22" spans="1:19" s="191" customFormat="1" ht="24" x14ac:dyDescent="0.2">
      <c r="A22" s="207">
        <f>A21+1</f>
        <v>2</v>
      </c>
      <c r="B22" s="483" t="s">
        <v>238</v>
      </c>
      <c r="C22" s="472">
        <v>4.32</v>
      </c>
      <c r="D22" s="115">
        <f>B18*0.3</f>
        <v>197.4</v>
      </c>
      <c r="E22" s="195"/>
      <c r="F22" s="192">
        <v>2</v>
      </c>
      <c r="G22" s="483" t="s">
        <v>237</v>
      </c>
      <c r="H22" s="472">
        <v>3.54</v>
      </c>
      <c r="I22" s="115">
        <f>G18*0.3</f>
        <v>98.7</v>
      </c>
      <c r="J22" s="262"/>
      <c r="K22" s="314">
        <v>2</v>
      </c>
      <c r="L22" s="483" t="s">
        <v>238</v>
      </c>
      <c r="M22" s="472">
        <v>4.32</v>
      </c>
      <c r="N22" s="115">
        <f>L18*0.3</f>
        <v>197.4</v>
      </c>
      <c r="O22" s="262"/>
      <c r="P22" s="261"/>
      <c r="Q22" s="307"/>
      <c r="R22" s="237"/>
      <c r="S22" s="236"/>
    </row>
    <row r="23" spans="1:19" s="191" customFormat="1" ht="24" x14ac:dyDescent="0.2">
      <c r="A23" s="207">
        <f t="shared" ref="A23:A32" si="0">A22+1</f>
        <v>3</v>
      </c>
      <c r="B23" s="483" t="s">
        <v>239</v>
      </c>
      <c r="C23" s="472">
        <v>8.8000000000000007</v>
      </c>
      <c r="D23" s="115">
        <f>B18*0.2</f>
        <v>131.6</v>
      </c>
      <c r="E23" s="195"/>
      <c r="F23" s="192">
        <v>3</v>
      </c>
      <c r="G23" s="198"/>
      <c r="H23" s="209"/>
      <c r="I23" s="115">
        <f>G18*0.2</f>
        <v>65.8</v>
      </c>
      <c r="J23" s="262"/>
      <c r="K23" s="314">
        <v>3</v>
      </c>
      <c r="L23" s="483" t="s">
        <v>239</v>
      </c>
      <c r="M23" s="472">
        <v>8.8000000000000007</v>
      </c>
      <c r="N23" s="115">
        <f>L18*0.2</f>
        <v>131.6</v>
      </c>
      <c r="O23" s="262"/>
      <c r="P23" s="261"/>
      <c r="Q23" s="307"/>
      <c r="R23" s="237"/>
      <c r="S23" s="236"/>
    </row>
    <row r="24" spans="1:19" s="191" customFormat="1" ht="24" x14ac:dyDescent="0.2">
      <c r="A24" s="207">
        <f t="shared" si="0"/>
        <v>4</v>
      </c>
      <c r="B24" s="483" t="s">
        <v>240</v>
      </c>
      <c r="C24" s="472">
        <v>10.48</v>
      </c>
      <c r="D24" s="115">
        <f>B18*0.1</f>
        <v>65.8</v>
      </c>
      <c r="E24" s="195"/>
      <c r="F24" s="192">
        <v>4</v>
      </c>
      <c r="G24" s="198"/>
      <c r="H24" s="209"/>
      <c r="I24" s="115">
        <f>G18*0.1</f>
        <v>32.9</v>
      </c>
      <c r="J24" s="262"/>
      <c r="K24" s="314">
        <v>4</v>
      </c>
      <c r="L24" s="483" t="s">
        <v>240</v>
      </c>
      <c r="M24" s="472">
        <v>10.48</v>
      </c>
      <c r="N24" s="115">
        <f>L18*0.1</f>
        <v>65.8</v>
      </c>
      <c r="O24" s="262"/>
      <c r="P24" s="261"/>
      <c r="Q24" s="307"/>
      <c r="R24" s="237"/>
      <c r="S24" s="236"/>
    </row>
    <row r="25" spans="1:19" s="191" customFormat="1" ht="22.5" x14ac:dyDescent="0.2">
      <c r="A25" s="207">
        <f t="shared" si="0"/>
        <v>5</v>
      </c>
      <c r="B25" s="198"/>
      <c r="C25" s="208"/>
      <c r="D25" s="115"/>
      <c r="E25" s="195"/>
      <c r="F25" s="192">
        <v>5</v>
      </c>
      <c r="G25" s="198"/>
      <c r="H25" s="209"/>
      <c r="I25" s="115"/>
      <c r="J25" s="262"/>
      <c r="K25" s="314">
        <v>5</v>
      </c>
      <c r="N25" s="115"/>
      <c r="O25" s="262"/>
      <c r="P25" s="261"/>
      <c r="Q25" s="307"/>
      <c r="R25" s="237"/>
      <c r="S25" s="236"/>
    </row>
    <row r="26" spans="1:19" s="191" customFormat="1" ht="22.5" x14ac:dyDescent="0.2">
      <c r="A26" s="207">
        <f t="shared" si="0"/>
        <v>6</v>
      </c>
      <c r="B26" s="206"/>
      <c r="C26" s="208"/>
      <c r="D26" s="115"/>
      <c r="E26" s="195"/>
      <c r="F26" s="192">
        <v>6</v>
      </c>
      <c r="G26" s="198"/>
      <c r="H26" s="209"/>
      <c r="I26" s="115"/>
      <c r="J26" s="262"/>
      <c r="K26" s="314">
        <v>6</v>
      </c>
      <c r="L26" s="263"/>
      <c r="M26" s="478"/>
      <c r="N26" s="115"/>
      <c r="O26" s="262"/>
      <c r="P26" s="261"/>
      <c r="Q26" s="307"/>
      <c r="R26" s="237"/>
      <c r="S26" s="236"/>
    </row>
    <row r="27" spans="1:19" s="191" customFormat="1" ht="22.5" x14ac:dyDescent="0.2">
      <c r="A27" s="207">
        <f t="shared" si="0"/>
        <v>7</v>
      </c>
      <c r="B27" s="198"/>
      <c r="C27" s="208"/>
      <c r="D27" s="115"/>
      <c r="E27" s="195"/>
      <c r="F27" s="192">
        <v>7</v>
      </c>
      <c r="G27" s="198"/>
      <c r="H27" s="198"/>
      <c r="I27" s="115"/>
      <c r="J27" s="262"/>
      <c r="K27" s="314">
        <v>7</v>
      </c>
      <c r="L27" s="263"/>
      <c r="M27" s="263"/>
      <c r="N27" s="115"/>
      <c r="O27" s="262"/>
      <c r="P27" s="261"/>
      <c r="Q27" s="307"/>
      <c r="R27" s="237"/>
      <c r="S27" s="236"/>
    </row>
    <row r="28" spans="1:19" s="191" customFormat="1" ht="22.5" x14ac:dyDescent="0.2">
      <c r="A28" s="207">
        <f t="shared" si="0"/>
        <v>8</v>
      </c>
      <c r="B28" s="198"/>
      <c r="C28" s="208"/>
      <c r="D28" s="115"/>
      <c r="E28" s="195"/>
      <c r="F28" s="192">
        <v>8</v>
      </c>
      <c r="G28" s="201"/>
      <c r="H28" s="201"/>
      <c r="I28" s="224"/>
      <c r="J28" s="262"/>
      <c r="K28" s="314">
        <v>8</v>
      </c>
      <c r="L28" s="264"/>
      <c r="M28" s="264"/>
      <c r="N28" s="224"/>
      <c r="O28" s="262"/>
      <c r="P28" s="261"/>
      <c r="Q28" s="307"/>
      <c r="R28" s="237"/>
      <c r="S28" s="236"/>
    </row>
    <row r="29" spans="1:19" s="191" customFormat="1" ht="22.5" x14ac:dyDescent="0.2">
      <c r="A29" s="207">
        <f t="shared" si="0"/>
        <v>9</v>
      </c>
      <c r="B29" s="198"/>
      <c r="C29" s="209"/>
      <c r="D29" s="115"/>
      <c r="E29" s="195"/>
      <c r="F29" s="192">
        <v>9</v>
      </c>
      <c r="G29" s="201"/>
      <c r="H29" s="201"/>
      <c r="I29" s="224"/>
      <c r="J29" s="262"/>
      <c r="K29" s="314">
        <v>9</v>
      </c>
      <c r="L29" s="264"/>
      <c r="M29" s="264"/>
      <c r="N29" s="224"/>
      <c r="O29" s="262"/>
      <c r="P29" s="261"/>
      <c r="Q29" s="307"/>
      <c r="R29" s="237"/>
      <c r="S29" s="236"/>
    </row>
    <row r="30" spans="1:19" s="191" customFormat="1" ht="22.5" x14ac:dyDescent="0.2">
      <c r="A30" s="207">
        <f t="shared" si="0"/>
        <v>10</v>
      </c>
      <c r="B30" s="198"/>
      <c r="C30" s="209"/>
      <c r="D30" s="221"/>
      <c r="E30" s="195"/>
      <c r="F30" s="192">
        <v>10</v>
      </c>
      <c r="G30" s="201"/>
      <c r="H30" s="201"/>
      <c r="I30" s="224"/>
      <c r="J30" s="262"/>
      <c r="K30" s="314">
        <v>10</v>
      </c>
      <c r="L30" s="264"/>
      <c r="M30" s="264"/>
      <c r="N30" s="224"/>
      <c r="O30" s="262"/>
      <c r="P30" s="261"/>
      <c r="Q30" s="307"/>
      <c r="R30" s="237"/>
      <c r="S30" s="236"/>
    </row>
    <row r="31" spans="1:19" s="191" customFormat="1" ht="22.5" x14ac:dyDescent="0.2">
      <c r="A31" s="207">
        <f t="shared" si="0"/>
        <v>11</v>
      </c>
      <c r="B31" s="199"/>
      <c r="C31" s="199"/>
      <c r="D31" s="200"/>
      <c r="E31" s="195"/>
      <c r="F31" s="192">
        <v>11</v>
      </c>
      <c r="G31" s="201"/>
      <c r="H31" s="201"/>
      <c r="I31" s="224"/>
      <c r="J31" s="262"/>
      <c r="K31" s="314">
        <v>11</v>
      </c>
      <c r="L31" s="264"/>
      <c r="M31" s="264"/>
      <c r="N31" s="224"/>
      <c r="O31" s="262"/>
      <c r="P31" s="261"/>
      <c r="Q31" s="307"/>
      <c r="R31" s="237"/>
      <c r="S31" s="236"/>
    </row>
    <row r="32" spans="1:19" s="191" customFormat="1" ht="22.5" x14ac:dyDescent="0.2">
      <c r="A32" s="207">
        <f t="shared" si="0"/>
        <v>12</v>
      </c>
      <c r="B32" s="199"/>
      <c r="C32" s="199"/>
      <c r="D32" s="200"/>
      <c r="E32" s="195"/>
      <c r="F32" s="192">
        <v>12</v>
      </c>
      <c r="G32" s="201"/>
      <c r="H32" s="201"/>
      <c r="I32" s="224"/>
      <c r="J32" s="262"/>
      <c r="K32" s="314">
        <v>12</v>
      </c>
      <c r="L32" s="264"/>
      <c r="M32" s="264"/>
      <c r="N32" s="224"/>
      <c r="O32" s="262"/>
      <c r="P32" s="261"/>
      <c r="Q32" s="307"/>
      <c r="R32" s="237"/>
      <c r="S32" s="236"/>
    </row>
    <row r="33" spans="1:19" ht="15.75" x14ac:dyDescent="0.25">
      <c r="D33" s="203">
        <f>SUM(D21:D32)</f>
        <v>658</v>
      </c>
      <c r="F33" s="174"/>
      <c r="I33" s="252">
        <f>SUM(I21:I32)</f>
        <v>329</v>
      </c>
      <c r="J33" s="252"/>
      <c r="K33" s="252"/>
      <c r="L33" s="252"/>
      <c r="M33" s="252"/>
      <c r="N33" s="252">
        <f>SUM(N21:N32)</f>
        <v>658</v>
      </c>
      <c r="O33" s="252"/>
      <c r="P33" s="252">
        <f>SUM(D33:N33)</f>
        <v>1645</v>
      </c>
      <c r="Q33" s="304"/>
      <c r="R33" s="240"/>
      <c r="S33" s="236"/>
    </row>
    <row r="34" spans="1:19" ht="12.75" customHeight="1" x14ac:dyDescent="0.2">
      <c r="A34" s="530"/>
      <c r="B34" s="530"/>
      <c r="C34" s="530"/>
      <c r="D34" s="530"/>
      <c r="E34" s="530"/>
      <c r="F34" s="530"/>
      <c r="G34" s="530"/>
      <c r="H34" s="530"/>
      <c r="I34" s="531"/>
      <c r="J34" s="531"/>
      <c r="K34" s="531"/>
      <c r="L34" s="531"/>
      <c r="M34" s="531"/>
      <c r="N34" s="531"/>
      <c r="O34" s="531"/>
      <c r="P34" s="252"/>
      <c r="Q34" s="304"/>
      <c r="R34" s="240"/>
      <c r="S34" s="236"/>
    </row>
    <row r="35" spans="1:19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2"/>
      <c r="Q35" s="304"/>
      <c r="R35" s="240"/>
      <c r="S35" s="236"/>
    </row>
    <row r="36" spans="1:19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52"/>
      <c r="Q36" s="304"/>
      <c r="R36" s="240"/>
      <c r="S36" s="236"/>
    </row>
    <row r="37" spans="1:19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52"/>
      <c r="Q37" s="304"/>
      <c r="R37" s="240"/>
      <c r="S37" s="236"/>
    </row>
    <row r="38" spans="1:19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52"/>
      <c r="Q38" s="304"/>
      <c r="R38" s="240"/>
      <c r="S38" s="236"/>
    </row>
    <row r="39" spans="1:19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52"/>
      <c r="Q39" s="304"/>
      <c r="R39" s="240"/>
      <c r="S39" s="236"/>
    </row>
    <row r="40" spans="1:19" x14ac:dyDescent="0.2">
      <c r="I40" s="252"/>
      <c r="J40" s="252"/>
      <c r="K40" s="252"/>
      <c r="L40" s="252"/>
      <c r="M40" s="252"/>
      <c r="N40" s="252"/>
      <c r="O40" s="252"/>
      <c r="P40" s="252"/>
      <c r="Q40" s="304"/>
      <c r="R40" s="240"/>
      <c r="S40" s="236"/>
    </row>
    <row r="41" spans="1:19" x14ac:dyDescent="0.2">
      <c r="I41" s="252"/>
      <c r="J41" s="252"/>
      <c r="K41" s="252"/>
      <c r="L41" s="252"/>
      <c r="M41" s="252"/>
      <c r="N41" s="252"/>
      <c r="O41" s="252"/>
      <c r="P41" s="252"/>
      <c r="Q41" s="304"/>
      <c r="R41" s="240"/>
      <c r="S41" s="236"/>
    </row>
    <row r="42" spans="1:19" x14ac:dyDescent="0.2">
      <c r="I42" s="252"/>
      <c r="J42" s="252"/>
      <c r="K42" s="252"/>
      <c r="L42" s="252"/>
      <c r="M42" s="252"/>
      <c r="N42" s="252"/>
      <c r="O42" s="252"/>
      <c r="P42" s="252"/>
      <c r="Q42" s="304"/>
      <c r="R42" s="240"/>
      <c r="S42" s="236"/>
    </row>
    <row r="43" spans="1:19" x14ac:dyDescent="0.2">
      <c r="I43" s="252"/>
      <c r="J43" s="252"/>
      <c r="K43" s="252"/>
      <c r="L43" s="252"/>
      <c r="M43" s="252"/>
      <c r="N43" s="252"/>
      <c r="O43" s="252"/>
      <c r="P43" s="252"/>
      <c r="Q43" s="304"/>
      <c r="R43" s="240"/>
      <c r="S43" s="236"/>
    </row>
    <row r="44" spans="1:19" x14ac:dyDescent="0.2">
      <c r="I44" s="252"/>
      <c r="J44" s="252"/>
      <c r="K44" s="252"/>
      <c r="L44" s="252"/>
      <c r="M44" s="252"/>
      <c r="N44" s="252"/>
      <c r="O44" s="252"/>
      <c r="P44" s="252"/>
      <c r="Q44" s="304"/>
      <c r="R44" s="240"/>
      <c r="S44" s="236"/>
    </row>
    <row r="45" spans="1:19" x14ac:dyDescent="0.2">
      <c r="I45" s="252"/>
      <c r="J45" s="252"/>
      <c r="K45" s="252"/>
      <c r="L45" s="252"/>
      <c r="M45" s="252"/>
      <c r="N45" s="252"/>
      <c r="O45" s="252"/>
      <c r="P45" s="252"/>
      <c r="Q45" s="304"/>
      <c r="R45" s="240"/>
      <c r="S45" s="236"/>
    </row>
    <row r="46" spans="1:19" x14ac:dyDescent="0.2">
      <c r="I46" s="252"/>
      <c r="J46" s="252"/>
      <c r="K46" s="252"/>
      <c r="L46" s="252"/>
      <c r="M46" s="252"/>
      <c r="N46" s="252"/>
      <c r="O46" s="252"/>
      <c r="P46" s="252"/>
      <c r="Q46" s="304"/>
      <c r="R46" s="240"/>
      <c r="S46" s="236"/>
    </row>
    <row r="47" spans="1:19" x14ac:dyDescent="0.2">
      <c r="I47" s="252"/>
      <c r="J47" s="252"/>
      <c r="K47" s="252"/>
      <c r="L47" s="252"/>
      <c r="M47" s="252"/>
      <c r="N47" s="252"/>
      <c r="O47" s="252"/>
      <c r="P47" s="252"/>
      <c r="Q47" s="304"/>
      <c r="R47" s="240"/>
      <c r="S47" s="236"/>
    </row>
    <row r="48" spans="1:19" x14ac:dyDescent="0.2">
      <c r="I48" s="252"/>
      <c r="J48" s="252"/>
      <c r="K48" s="252"/>
      <c r="L48" s="252"/>
      <c r="M48" s="252"/>
      <c r="N48" s="252"/>
      <c r="O48" s="252"/>
      <c r="P48" s="252"/>
      <c r="Q48" s="304"/>
      <c r="R48" s="240"/>
      <c r="S48" s="236"/>
    </row>
    <row r="49" spans="9:19" x14ac:dyDescent="0.2">
      <c r="I49" s="252"/>
      <c r="J49" s="252"/>
      <c r="K49" s="252"/>
      <c r="L49" s="252"/>
      <c r="M49" s="252"/>
      <c r="N49" s="252"/>
      <c r="O49" s="252"/>
      <c r="P49" s="252"/>
      <c r="Q49" s="304"/>
      <c r="R49" s="240"/>
      <c r="S49" s="236"/>
    </row>
    <row r="50" spans="9:19" x14ac:dyDescent="0.2">
      <c r="I50" s="252"/>
      <c r="J50" s="252"/>
      <c r="K50" s="252"/>
      <c r="L50" s="252"/>
      <c r="M50" s="252"/>
      <c r="N50" s="252"/>
      <c r="O50" s="252"/>
      <c r="P50" s="252"/>
      <c r="Q50" s="304"/>
      <c r="R50" s="240"/>
      <c r="S50" s="236"/>
    </row>
    <row r="51" spans="9:19" x14ac:dyDescent="0.2">
      <c r="I51" s="253"/>
      <c r="J51" s="253"/>
      <c r="K51" s="253"/>
      <c r="L51" s="253"/>
      <c r="M51" s="253"/>
      <c r="N51" s="253"/>
      <c r="O51" s="253"/>
      <c r="P51" s="253"/>
      <c r="Q51" s="304"/>
    </row>
  </sheetData>
  <mergeCells count="21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8:O38"/>
    <mergeCell ref="A39:O39"/>
    <mergeCell ref="A14:B14"/>
    <mergeCell ref="E14:F14"/>
    <mergeCell ref="A34:O34"/>
    <mergeCell ref="A35:O35"/>
    <mergeCell ref="A36:O36"/>
    <mergeCell ref="A37:O37"/>
  </mergeCells>
  <printOptions horizontalCentered="1"/>
  <pageMargins left="0.12" right="0.12" top="0.25" bottom="0.25" header="0.5" footer="0.5"/>
  <pageSetup scale="74" orientation="landscape" r:id="rId1"/>
  <headerFooter scaleWithDoc="0"/>
  <colBreaks count="1" manualBreakCount="1">
    <brk id="15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1"/>
  <sheetViews>
    <sheetView view="pageBreakPreview" zoomScaleNormal="100" zoomScaleSheetLayoutView="100" workbookViewId="0">
      <selection activeCell="B25" sqref="B25"/>
    </sheetView>
  </sheetViews>
  <sheetFormatPr defaultColWidth="9.140625" defaultRowHeight="12.75" x14ac:dyDescent="0.2"/>
  <cols>
    <col min="1" max="1" width="6" style="168" customWidth="1"/>
    <col min="2" max="2" width="23.7109375" style="168" customWidth="1"/>
    <col min="3" max="3" width="9.28515625" style="168" customWidth="1"/>
    <col min="4" max="4" width="12" style="168" bestFit="1" customWidth="1"/>
    <col min="5" max="5" width="9.5703125" style="168" customWidth="1"/>
    <col min="6" max="6" width="6" style="168" customWidth="1"/>
    <col min="7" max="7" width="23.7109375" style="168" customWidth="1"/>
    <col min="8" max="8" width="9.28515625" style="168" customWidth="1"/>
    <col min="9" max="9" width="12" style="168" bestFit="1" customWidth="1"/>
    <col min="10" max="10" width="9.5703125" style="168" customWidth="1"/>
    <col min="11" max="11" width="6" style="168" customWidth="1"/>
    <col min="12" max="12" width="23.7109375" style="168" customWidth="1"/>
    <col min="13" max="13" width="9.28515625" style="168" customWidth="1"/>
    <col min="14" max="14" width="12" style="168" bestFit="1" customWidth="1"/>
    <col min="15" max="15" width="9.5703125" style="168" customWidth="1"/>
    <col min="16" max="16" width="13.140625" style="168" bestFit="1" customWidth="1"/>
    <col min="17" max="17" width="9.140625" style="210"/>
    <col min="18" max="18" width="9.140625" style="213"/>
    <col min="19" max="16384" width="9.140625" style="168"/>
  </cols>
  <sheetData>
    <row r="1" spans="1:19" s="166" customFormat="1" ht="22.5" x14ac:dyDescent="0.3">
      <c r="A1" s="532" t="s">
        <v>43</v>
      </c>
      <c r="B1" s="532"/>
      <c r="C1" s="533" t="s">
        <v>184</v>
      </c>
      <c r="D1" s="533"/>
      <c r="E1" s="533"/>
      <c r="F1" s="533"/>
      <c r="G1" s="533"/>
      <c r="H1" s="533"/>
      <c r="K1" s="167"/>
      <c r="L1" s="225"/>
      <c r="M1" s="534"/>
      <c r="N1" s="534"/>
      <c r="O1" s="534"/>
      <c r="Q1" s="303"/>
      <c r="R1" s="301"/>
    </row>
    <row r="2" spans="1:19" x14ac:dyDescent="0.2">
      <c r="K2" s="169"/>
      <c r="L2" s="170"/>
      <c r="M2" s="171"/>
      <c r="N2" s="170"/>
      <c r="O2" s="169"/>
    </row>
    <row r="3" spans="1:19" ht="25.5" x14ac:dyDescent="0.35">
      <c r="A3" s="535" t="s">
        <v>0</v>
      </c>
      <c r="B3" s="526"/>
      <c r="C3" s="172" t="s">
        <v>91</v>
      </c>
      <c r="D3" s="173"/>
      <c r="E3" s="173"/>
      <c r="F3" s="173"/>
      <c r="G3" s="173"/>
      <c r="H3" s="174"/>
      <c r="I3" s="174"/>
      <c r="J3" s="174"/>
      <c r="K3" s="169"/>
      <c r="L3" s="170"/>
      <c r="M3" s="171"/>
      <c r="N3" s="170"/>
      <c r="O3" s="175"/>
    </row>
    <row r="4" spans="1:19" ht="16.5" thickBot="1" x14ac:dyDescent="0.3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69"/>
      <c r="L4" s="170"/>
      <c r="M4" s="171"/>
      <c r="N4" s="170"/>
      <c r="O4" s="175"/>
    </row>
    <row r="5" spans="1:19" ht="16.5" thickBot="1" x14ac:dyDescent="0.3">
      <c r="A5" s="526" t="s">
        <v>1</v>
      </c>
      <c r="B5" s="527"/>
      <c r="C5" s="176">
        <v>3</v>
      </c>
      <c r="D5" s="174"/>
      <c r="E5" s="174"/>
      <c r="F5" s="174"/>
      <c r="G5" s="174"/>
      <c r="H5" s="174"/>
      <c r="I5" s="174"/>
      <c r="J5" s="174"/>
      <c r="K5" s="177"/>
      <c r="L5" s="170"/>
      <c r="M5" s="171"/>
      <c r="N5" s="170"/>
      <c r="O5" s="175"/>
    </row>
    <row r="6" spans="1:19" ht="16.5" thickBot="1" x14ac:dyDescent="0.3">
      <c r="A6" s="526" t="s">
        <v>2</v>
      </c>
      <c r="B6" s="526"/>
      <c r="C6" s="38">
        <v>50</v>
      </c>
      <c r="D6" s="178" t="s">
        <v>3</v>
      </c>
      <c r="E6" s="515">
        <f>SUM(C5*C6)</f>
        <v>150</v>
      </c>
      <c r="F6" s="529"/>
      <c r="G6" s="183"/>
      <c r="H6" s="174"/>
      <c r="I6" s="250"/>
      <c r="J6" s="250"/>
      <c r="K6" s="251"/>
      <c r="L6" s="251"/>
      <c r="M6" s="251"/>
      <c r="N6" s="251"/>
      <c r="O6" s="251"/>
      <c r="P6" s="252"/>
      <c r="Q6" s="304"/>
      <c r="R6" s="240"/>
      <c r="S6" s="236"/>
    </row>
    <row r="7" spans="1:19" ht="16.5" thickBot="1" x14ac:dyDescent="0.3">
      <c r="A7" s="179"/>
      <c r="B7" s="179"/>
      <c r="C7" s="40"/>
      <c r="D7" s="178"/>
      <c r="E7" s="41"/>
      <c r="F7" s="180"/>
      <c r="G7" s="174"/>
      <c r="H7" s="174"/>
      <c r="I7" s="250"/>
      <c r="J7" s="250"/>
      <c r="K7" s="251"/>
      <c r="L7" s="251"/>
      <c r="M7" s="251"/>
      <c r="N7" s="251"/>
      <c r="O7" s="251"/>
      <c r="P7" s="252"/>
      <c r="Q7" s="304"/>
      <c r="R7" s="240"/>
      <c r="S7" s="236"/>
    </row>
    <row r="8" spans="1:19" ht="16.5" thickBot="1" x14ac:dyDescent="0.3">
      <c r="A8" s="526" t="s">
        <v>4</v>
      </c>
      <c r="B8" s="527"/>
      <c r="C8" s="181"/>
      <c r="D8" s="174"/>
      <c r="E8" s="528">
        <v>1000</v>
      </c>
      <c r="F8" s="529"/>
      <c r="G8" s="174"/>
      <c r="H8" s="174"/>
      <c r="I8" s="250"/>
      <c r="J8" s="250"/>
      <c r="K8" s="251"/>
      <c r="L8" s="254"/>
      <c r="M8" s="251"/>
      <c r="N8" s="251"/>
      <c r="O8" s="251"/>
      <c r="P8" s="252"/>
      <c r="Q8" s="304"/>
      <c r="R8" s="240"/>
      <c r="S8" s="236"/>
    </row>
    <row r="9" spans="1:19" ht="16.5" thickBot="1" x14ac:dyDescent="0.3">
      <c r="A9" s="179"/>
      <c r="B9" s="174"/>
      <c r="C9" s="174"/>
      <c r="D9" s="174"/>
      <c r="E9" s="174"/>
      <c r="F9" s="174"/>
      <c r="G9" s="174"/>
      <c r="H9" s="174"/>
      <c r="I9" s="250"/>
      <c r="J9" s="250"/>
      <c r="K9" s="251"/>
      <c r="L9" s="251"/>
      <c r="M9" s="251"/>
      <c r="N9" s="251"/>
      <c r="O9" s="251"/>
      <c r="P9" s="252"/>
      <c r="Q9" s="304"/>
      <c r="R9" s="240"/>
      <c r="S9" s="236"/>
    </row>
    <row r="10" spans="1:19" ht="16.5" thickBot="1" x14ac:dyDescent="0.3">
      <c r="A10" s="526" t="s">
        <v>5</v>
      </c>
      <c r="B10" s="527"/>
      <c r="C10" s="174"/>
      <c r="D10" s="174"/>
      <c r="E10" s="528">
        <f>E6+E8</f>
        <v>1150</v>
      </c>
      <c r="F10" s="529"/>
      <c r="G10" s="174"/>
      <c r="H10" s="174"/>
      <c r="I10" s="250"/>
      <c r="J10" s="250"/>
      <c r="K10" s="251"/>
      <c r="L10" s="251"/>
      <c r="M10" s="251"/>
      <c r="N10" s="251"/>
      <c r="O10" s="251"/>
      <c r="P10" s="252"/>
      <c r="Q10" s="304"/>
      <c r="R10" s="240"/>
      <c r="S10" s="236"/>
    </row>
    <row r="11" spans="1:19" ht="16.5" thickBot="1" x14ac:dyDescent="0.3">
      <c r="A11" s="179"/>
      <c r="B11" s="174"/>
      <c r="C11" s="174"/>
      <c r="D11" s="174"/>
      <c r="E11" s="174"/>
      <c r="F11" s="174"/>
      <c r="G11" s="174"/>
      <c r="H11" s="174"/>
      <c r="I11" s="250"/>
      <c r="J11" s="250"/>
      <c r="K11" s="251"/>
      <c r="L11" s="251"/>
      <c r="M11" s="251"/>
      <c r="N11" s="251"/>
      <c r="O11" s="251"/>
      <c r="P11" s="252"/>
      <c r="Q11" s="304"/>
      <c r="R11" s="240"/>
      <c r="S11" s="236"/>
    </row>
    <row r="12" spans="1:19" ht="16.5" thickBot="1" x14ac:dyDescent="0.3">
      <c r="A12" s="526" t="s">
        <v>6</v>
      </c>
      <c r="B12" s="527"/>
      <c r="C12" s="181">
        <v>0.06</v>
      </c>
      <c r="D12" s="174"/>
      <c r="E12" s="515">
        <f>E10*0.06</f>
        <v>69</v>
      </c>
      <c r="F12" s="522"/>
      <c r="G12" s="174"/>
      <c r="H12" s="174"/>
      <c r="I12" s="250"/>
      <c r="J12" s="250"/>
      <c r="K12" s="251"/>
      <c r="L12" s="251"/>
      <c r="M12" s="251"/>
      <c r="N12" s="251"/>
      <c r="O12" s="251"/>
      <c r="P12" s="252"/>
      <c r="Q12" s="304"/>
      <c r="R12" s="240"/>
      <c r="S12" s="236"/>
    </row>
    <row r="13" spans="1:19" ht="16.5" thickBot="1" x14ac:dyDescent="0.3">
      <c r="A13" s="179"/>
      <c r="B13" s="174"/>
      <c r="C13" s="174"/>
      <c r="D13" s="174"/>
      <c r="E13" s="183"/>
      <c r="F13" s="183"/>
      <c r="G13" s="174"/>
      <c r="H13" s="174"/>
      <c r="I13" s="250"/>
      <c r="J13" s="250"/>
      <c r="K13" s="251"/>
      <c r="L13" s="251"/>
      <c r="M13" s="251"/>
      <c r="N13" s="251"/>
      <c r="O13" s="251"/>
      <c r="P13" s="252"/>
      <c r="Q13" s="304"/>
      <c r="R13" s="240"/>
      <c r="S13" s="236"/>
    </row>
    <row r="14" spans="1:19" ht="16.5" thickBot="1" x14ac:dyDescent="0.3">
      <c r="A14" s="526" t="s">
        <v>7</v>
      </c>
      <c r="B14" s="527"/>
      <c r="C14" s="174"/>
      <c r="D14" s="174"/>
      <c r="E14" s="528">
        <f>E10-E12</f>
        <v>1081</v>
      </c>
      <c r="F14" s="529"/>
      <c r="G14" s="174"/>
      <c r="H14" s="174"/>
      <c r="I14" s="250"/>
      <c r="J14" s="250"/>
      <c r="K14" s="251"/>
      <c r="L14" s="251"/>
      <c r="M14" s="251"/>
      <c r="N14" s="251"/>
      <c r="O14" s="251"/>
      <c r="P14" s="252"/>
      <c r="Q14" s="304"/>
      <c r="R14" s="240"/>
      <c r="S14" s="236"/>
    </row>
    <row r="15" spans="1:19" ht="15.75" x14ac:dyDescent="0.25">
      <c r="A15" s="179"/>
      <c r="B15" s="174"/>
      <c r="C15" s="174"/>
      <c r="D15" s="174"/>
      <c r="E15" s="174"/>
      <c r="F15" s="174"/>
      <c r="G15" s="174"/>
      <c r="H15" s="174"/>
      <c r="I15" s="250"/>
      <c r="J15" s="250"/>
      <c r="K15" s="251"/>
      <c r="L15" s="251"/>
      <c r="M15" s="251"/>
      <c r="N15" s="251"/>
      <c r="O15" s="251"/>
      <c r="P15" s="252"/>
      <c r="Q15" s="304"/>
      <c r="R15" s="240"/>
      <c r="S15" s="236"/>
    </row>
    <row r="16" spans="1:19" ht="15.75" x14ac:dyDescent="0.25">
      <c r="A16" s="179"/>
      <c r="B16" s="179"/>
      <c r="C16" s="179"/>
      <c r="D16" s="179"/>
      <c r="E16" s="179"/>
      <c r="F16" s="179"/>
      <c r="G16" s="179"/>
      <c r="H16" s="179"/>
      <c r="I16" s="250"/>
      <c r="J16" s="250"/>
      <c r="K16" s="250"/>
      <c r="L16" s="250"/>
      <c r="M16" s="250"/>
      <c r="N16" s="250"/>
      <c r="O16" s="250"/>
      <c r="P16" s="252"/>
      <c r="Q16" s="304"/>
      <c r="R16" s="240"/>
      <c r="S16" s="236"/>
    </row>
    <row r="17" spans="1:19" ht="15.75" x14ac:dyDescent="0.25">
      <c r="A17" s="184" t="s">
        <v>33</v>
      </c>
      <c r="B17" s="174"/>
      <c r="C17" s="174"/>
      <c r="D17" s="174"/>
      <c r="E17" s="174"/>
      <c r="F17" s="184" t="s">
        <v>8</v>
      </c>
      <c r="G17" s="174"/>
      <c r="H17" s="174"/>
      <c r="I17" s="250"/>
      <c r="J17" s="250"/>
      <c r="K17" s="250" t="s">
        <v>9</v>
      </c>
      <c r="L17" s="250"/>
      <c r="M17" s="250"/>
      <c r="N17" s="250"/>
      <c r="O17" s="250"/>
      <c r="P17" s="252"/>
      <c r="Q17" s="304"/>
      <c r="R17" s="240"/>
      <c r="S17" s="236"/>
    </row>
    <row r="18" spans="1:19" s="47" customFormat="1" ht="18" x14ac:dyDescent="0.25">
      <c r="B18" s="47">
        <f>E14*0.4</f>
        <v>432.40000000000003</v>
      </c>
      <c r="G18" s="47">
        <f>E14*0.2</f>
        <v>216.20000000000002</v>
      </c>
      <c r="I18" s="255"/>
      <c r="J18" s="255"/>
      <c r="K18" s="255"/>
      <c r="L18" s="255">
        <f>E14*0.4</f>
        <v>432.40000000000003</v>
      </c>
      <c r="M18" s="255"/>
      <c r="N18" s="255"/>
      <c r="O18" s="255"/>
      <c r="P18" s="255">
        <f>SUM(A18:M18)</f>
        <v>1081</v>
      </c>
      <c r="Q18" s="305"/>
      <c r="R18" s="241"/>
      <c r="S18" s="236"/>
    </row>
    <row r="19" spans="1:19" ht="15.75" x14ac:dyDescent="0.25">
      <c r="A19" s="174"/>
      <c r="B19" s="174"/>
      <c r="C19" s="174"/>
      <c r="D19" s="174"/>
      <c r="E19" s="174"/>
      <c r="F19" s="174"/>
      <c r="G19" s="174"/>
      <c r="H19" s="174"/>
      <c r="I19" s="250"/>
      <c r="J19" s="250"/>
      <c r="K19" s="250"/>
      <c r="L19" s="250"/>
      <c r="M19" s="250"/>
      <c r="N19" s="250"/>
      <c r="O19" s="250"/>
      <c r="P19" s="252"/>
      <c r="Q19" s="304"/>
      <c r="R19" s="240"/>
      <c r="S19" s="236"/>
    </row>
    <row r="20" spans="1:19" s="187" customFormat="1" ht="31.5" x14ac:dyDescent="0.25">
      <c r="A20" s="185" t="s">
        <v>10</v>
      </c>
      <c r="B20" s="185" t="s">
        <v>11</v>
      </c>
      <c r="C20" s="185" t="s">
        <v>38</v>
      </c>
      <c r="D20" s="186" t="s">
        <v>13</v>
      </c>
      <c r="E20" s="185" t="s">
        <v>14</v>
      </c>
      <c r="F20" s="185" t="s">
        <v>10</v>
      </c>
      <c r="G20" s="185" t="s">
        <v>11</v>
      </c>
      <c r="H20" s="185" t="s">
        <v>12</v>
      </c>
      <c r="I20" s="256" t="s">
        <v>13</v>
      </c>
      <c r="J20" s="257" t="s">
        <v>14</v>
      </c>
      <c r="K20" s="257" t="s">
        <v>10</v>
      </c>
      <c r="L20" s="257" t="s">
        <v>11</v>
      </c>
      <c r="M20" s="257" t="s">
        <v>38</v>
      </c>
      <c r="N20" s="256" t="s">
        <v>13</v>
      </c>
      <c r="O20" s="257" t="s">
        <v>14</v>
      </c>
      <c r="P20" s="258"/>
      <c r="Q20" s="306"/>
      <c r="R20" s="242"/>
      <c r="S20" s="236"/>
    </row>
    <row r="21" spans="1:19" s="191" customFormat="1" ht="22.5" x14ac:dyDescent="0.2">
      <c r="A21" s="188">
        <v>1</v>
      </c>
      <c r="B21" s="483" t="s">
        <v>233</v>
      </c>
      <c r="C21" s="472">
        <v>75</v>
      </c>
      <c r="D21" s="220">
        <v>259.39999999999998</v>
      </c>
      <c r="E21" s="190"/>
      <c r="F21" s="188">
        <v>1</v>
      </c>
      <c r="G21" s="483" t="s">
        <v>257</v>
      </c>
      <c r="H21" s="483"/>
      <c r="I21" s="220">
        <f>G18*0.6</f>
        <v>129.72</v>
      </c>
      <c r="J21" s="259"/>
      <c r="K21" s="313">
        <v>1</v>
      </c>
      <c r="L21" s="483" t="s">
        <v>233</v>
      </c>
      <c r="M21" s="472">
        <v>75</v>
      </c>
      <c r="N21" s="220">
        <f>L18*0.6</f>
        <v>259.44</v>
      </c>
      <c r="O21" s="259"/>
      <c r="P21" s="261"/>
      <c r="Q21" s="307"/>
      <c r="R21" s="237"/>
      <c r="S21" s="236"/>
    </row>
    <row r="22" spans="1:19" s="191" customFormat="1" ht="22.5" x14ac:dyDescent="0.2">
      <c r="A22" s="214">
        <f>A21+1</f>
        <v>2</v>
      </c>
      <c r="B22" s="483"/>
      <c r="C22" s="209"/>
      <c r="D22" s="115">
        <v>172.96</v>
      </c>
      <c r="E22" s="215"/>
      <c r="F22" s="192">
        <v>2</v>
      </c>
      <c r="G22" s="483"/>
      <c r="H22" s="483"/>
      <c r="I22" s="115">
        <f>G18*0.4</f>
        <v>86.480000000000018</v>
      </c>
      <c r="J22" s="262"/>
      <c r="K22" s="314">
        <v>2</v>
      </c>
      <c r="L22" s="263"/>
      <c r="M22" s="482"/>
      <c r="N22" s="115">
        <f>L18*0.4</f>
        <v>172.96000000000004</v>
      </c>
      <c r="O22" s="262"/>
      <c r="P22" s="261"/>
      <c r="Q22" s="307"/>
      <c r="R22" s="237"/>
      <c r="S22" s="236"/>
    </row>
    <row r="23" spans="1:19" s="191" customFormat="1" ht="22.5" x14ac:dyDescent="0.2">
      <c r="A23" s="214">
        <f t="shared" ref="A23:A32" si="0">A22+1</f>
        <v>3</v>
      </c>
      <c r="B23" s="483"/>
      <c r="C23" s="216"/>
      <c r="D23" s="115"/>
      <c r="E23" s="217"/>
      <c r="F23" s="192">
        <v>3</v>
      </c>
      <c r="G23" s="198"/>
      <c r="H23" s="209"/>
      <c r="I23" s="115"/>
      <c r="J23" s="262"/>
      <c r="K23" s="314">
        <v>3</v>
      </c>
      <c r="L23" s="263"/>
      <c r="M23" s="263"/>
      <c r="N23" s="115"/>
      <c r="O23" s="262"/>
      <c r="P23" s="261"/>
      <c r="Q23" s="307"/>
      <c r="R23" s="237"/>
      <c r="S23" s="236"/>
    </row>
    <row r="24" spans="1:19" s="191" customFormat="1" ht="22.5" x14ac:dyDescent="0.2">
      <c r="A24" s="214">
        <f t="shared" si="0"/>
        <v>4</v>
      </c>
      <c r="B24" s="198"/>
      <c r="C24" s="216"/>
      <c r="D24" s="115"/>
      <c r="E24" s="218"/>
      <c r="F24" s="192">
        <v>4</v>
      </c>
      <c r="G24" s="198"/>
      <c r="H24" s="209"/>
      <c r="I24" s="115"/>
      <c r="J24" s="262"/>
      <c r="K24" s="314">
        <v>4</v>
      </c>
      <c r="L24" s="263"/>
      <c r="M24" s="263"/>
      <c r="N24" s="115"/>
      <c r="O24" s="262"/>
      <c r="P24" s="261"/>
      <c r="Q24" s="307"/>
      <c r="R24" s="237"/>
      <c r="S24" s="236"/>
    </row>
    <row r="25" spans="1:19" s="191" customFormat="1" ht="22.5" x14ac:dyDescent="0.2">
      <c r="A25" s="214">
        <f t="shared" si="0"/>
        <v>5</v>
      </c>
      <c r="B25" s="198"/>
      <c r="C25" s="216"/>
      <c r="D25" s="115"/>
      <c r="E25" s="219"/>
      <c r="F25" s="192">
        <v>5</v>
      </c>
      <c r="G25" s="198"/>
      <c r="H25" s="209"/>
      <c r="I25" s="115"/>
      <c r="J25" s="262"/>
      <c r="K25" s="314">
        <v>5</v>
      </c>
      <c r="L25" s="263"/>
      <c r="M25" s="263"/>
      <c r="N25" s="115"/>
      <c r="O25" s="262"/>
      <c r="P25" s="261"/>
      <c r="Q25" s="307"/>
      <c r="R25" s="237"/>
      <c r="S25" s="236"/>
    </row>
    <row r="26" spans="1:19" s="191" customFormat="1" ht="22.5" x14ac:dyDescent="0.2">
      <c r="A26" s="214">
        <f t="shared" si="0"/>
        <v>6</v>
      </c>
      <c r="B26" s="206"/>
      <c r="C26" s="216"/>
      <c r="D26" s="115"/>
      <c r="E26" s="195"/>
      <c r="F26" s="192">
        <v>6</v>
      </c>
      <c r="G26" s="198"/>
      <c r="H26" s="209"/>
      <c r="I26" s="115"/>
      <c r="J26" s="262"/>
      <c r="K26" s="314">
        <v>6</v>
      </c>
      <c r="L26" s="263"/>
      <c r="M26" s="263"/>
      <c r="N26" s="115"/>
      <c r="O26" s="262"/>
      <c r="P26" s="261"/>
      <c r="Q26" s="307"/>
      <c r="R26" s="237"/>
      <c r="S26" s="236"/>
    </row>
    <row r="27" spans="1:19" s="191" customFormat="1" ht="22.5" x14ac:dyDescent="0.2">
      <c r="A27" s="214">
        <f t="shared" si="0"/>
        <v>7</v>
      </c>
      <c r="B27" s="198"/>
      <c r="C27" s="216"/>
      <c r="D27" s="115"/>
      <c r="E27" s="195"/>
      <c r="F27" s="192">
        <v>7</v>
      </c>
      <c r="G27" s="198"/>
      <c r="H27" s="198"/>
      <c r="I27" s="115"/>
      <c r="J27" s="262"/>
      <c r="K27" s="314">
        <v>7</v>
      </c>
      <c r="L27" s="263"/>
      <c r="M27" s="263"/>
      <c r="N27" s="115"/>
      <c r="O27" s="262"/>
      <c r="P27" s="261"/>
      <c r="Q27" s="307"/>
      <c r="R27" s="237"/>
      <c r="S27" s="236"/>
    </row>
    <row r="28" spans="1:19" s="191" customFormat="1" ht="22.5" x14ac:dyDescent="0.2">
      <c r="A28" s="214">
        <f t="shared" si="0"/>
        <v>8</v>
      </c>
      <c r="B28" s="198"/>
      <c r="C28" s="216"/>
      <c r="D28" s="115"/>
      <c r="E28" s="195"/>
      <c r="F28" s="192">
        <v>8</v>
      </c>
      <c r="G28" s="201"/>
      <c r="H28" s="201"/>
      <c r="I28" s="224"/>
      <c r="J28" s="262"/>
      <c r="K28" s="314">
        <v>8</v>
      </c>
      <c r="L28" s="264"/>
      <c r="M28" s="264"/>
      <c r="N28" s="224"/>
      <c r="O28" s="262"/>
      <c r="P28" s="261"/>
      <c r="Q28" s="307"/>
      <c r="R28" s="237"/>
      <c r="S28" s="236"/>
    </row>
    <row r="29" spans="1:19" s="191" customFormat="1" ht="22.5" x14ac:dyDescent="0.2">
      <c r="A29" s="214">
        <f t="shared" si="0"/>
        <v>9</v>
      </c>
      <c r="B29" s="198"/>
      <c r="C29" s="216"/>
      <c r="D29" s="221"/>
      <c r="E29" s="195"/>
      <c r="F29" s="192">
        <v>9</v>
      </c>
      <c r="G29" s="201"/>
      <c r="H29" s="201"/>
      <c r="I29" s="224"/>
      <c r="J29" s="262"/>
      <c r="K29" s="314">
        <v>9</v>
      </c>
      <c r="L29" s="264"/>
      <c r="M29" s="264"/>
      <c r="N29" s="224"/>
      <c r="O29" s="262"/>
      <c r="P29" s="261"/>
      <c r="Q29" s="307"/>
      <c r="R29" s="237"/>
      <c r="S29" s="236"/>
    </row>
    <row r="30" spans="1:19" s="191" customFormat="1" ht="22.5" x14ac:dyDescent="0.2">
      <c r="A30" s="214">
        <f t="shared" si="0"/>
        <v>10</v>
      </c>
      <c r="B30" s="198"/>
      <c r="C30" s="216"/>
      <c r="D30" s="222"/>
      <c r="E30" s="195"/>
      <c r="F30" s="192">
        <v>10</v>
      </c>
      <c r="G30" s="201"/>
      <c r="H30" s="201"/>
      <c r="I30" s="224"/>
      <c r="J30" s="262"/>
      <c r="K30" s="314">
        <v>10</v>
      </c>
      <c r="L30" s="264"/>
      <c r="M30" s="264"/>
      <c r="N30" s="224"/>
      <c r="O30" s="262"/>
      <c r="P30" s="261"/>
      <c r="Q30" s="307"/>
      <c r="R30" s="237"/>
      <c r="S30" s="236"/>
    </row>
    <row r="31" spans="1:19" s="191" customFormat="1" ht="22.5" x14ac:dyDescent="0.2">
      <c r="A31" s="214">
        <f t="shared" si="0"/>
        <v>11</v>
      </c>
      <c r="B31" s="199"/>
      <c r="C31" s="199"/>
      <c r="D31" s="200"/>
      <c r="E31" s="195"/>
      <c r="F31" s="192">
        <v>11</v>
      </c>
      <c r="G31" s="201"/>
      <c r="H31" s="201"/>
      <c r="I31" s="224"/>
      <c r="J31" s="262"/>
      <c r="K31" s="314">
        <v>11</v>
      </c>
      <c r="L31" s="264"/>
      <c r="M31" s="264"/>
      <c r="N31" s="224"/>
      <c r="O31" s="262"/>
      <c r="P31" s="261"/>
      <c r="Q31" s="307"/>
      <c r="R31" s="237"/>
      <c r="S31" s="236"/>
    </row>
    <row r="32" spans="1:19" s="191" customFormat="1" ht="22.5" x14ac:dyDescent="0.2">
      <c r="A32" s="214">
        <f t="shared" si="0"/>
        <v>12</v>
      </c>
      <c r="B32" s="199"/>
      <c r="C32" s="199"/>
      <c r="D32" s="200"/>
      <c r="E32" s="195"/>
      <c r="F32" s="192">
        <v>12</v>
      </c>
      <c r="G32" s="201"/>
      <c r="H32" s="201"/>
      <c r="I32" s="224"/>
      <c r="J32" s="262"/>
      <c r="K32" s="314">
        <v>12</v>
      </c>
      <c r="L32" s="264"/>
      <c r="M32" s="264"/>
      <c r="N32" s="224"/>
      <c r="O32" s="262"/>
      <c r="P32" s="261"/>
      <c r="Q32" s="307"/>
      <c r="R32" s="237"/>
      <c r="S32" s="236"/>
    </row>
    <row r="33" spans="1:19" ht="12.75" customHeight="1" x14ac:dyDescent="0.2">
      <c r="D33" s="203">
        <f>SUM(D21:D32)</f>
        <v>432.36</v>
      </c>
      <c r="I33" s="252">
        <f>SUM(I21:I32)</f>
        <v>216.20000000000002</v>
      </c>
      <c r="J33" s="252"/>
      <c r="K33" s="252"/>
      <c r="L33" s="252"/>
      <c r="M33" s="252"/>
      <c r="N33" s="252">
        <f>SUM(N21:N32)</f>
        <v>432.40000000000003</v>
      </c>
      <c r="O33" s="252"/>
      <c r="P33" s="252">
        <f>SUM(D33:N33)</f>
        <v>1080.96</v>
      </c>
      <c r="Q33" s="304"/>
      <c r="R33" s="240"/>
      <c r="S33" s="236"/>
    </row>
    <row r="34" spans="1:19" ht="12.75" customHeight="1" x14ac:dyDescent="0.2">
      <c r="A34" s="204"/>
      <c r="B34" s="204"/>
      <c r="C34" s="204"/>
      <c r="D34" s="211"/>
      <c r="E34" s="204"/>
      <c r="F34" s="204"/>
      <c r="G34" s="204"/>
      <c r="H34" s="204"/>
      <c r="I34" s="252"/>
      <c r="J34" s="252"/>
      <c r="K34" s="252"/>
      <c r="L34" s="252"/>
      <c r="M34" s="252"/>
      <c r="N34" s="252"/>
      <c r="O34" s="252"/>
      <c r="P34" s="252"/>
      <c r="Q34" s="304"/>
      <c r="R34" s="240"/>
      <c r="S34" s="236"/>
    </row>
    <row r="35" spans="1:19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2"/>
      <c r="Q35" s="304"/>
      <c r="R35" s="240"/>
      <c r="S35" s="236"/>
    </row>
    <row r="36" spans="1:19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52"/>
      <c r="Q36" s="304"/>
      <c r="R36" s="240"/>
      <c r="S36" s="236"/>
    </row>
    <row r="37" spans="1:19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52"/>
      <c r="Q37" s="304"/>
      <c r="R37" s="240"/>
      <c r="S37" s="236"/>
    </row>
    <row r="38" spans="1:19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52"/>
      <c r="Q38" s="304"/>
      <c r="R38" s="240"/>
      <c r="S38" s="236"/>
    </row>
    <row r="39" spans="1:19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52"/>
      <c r="Q39" s="304"/>
      <c r="R39" s="240"/>
      <c r="S39" s="236"/>
    </row>
    <row r="40" spans="1:19" x14ac:dyDescent="0.2">
      <c r="I40" s="252"/>
      <c r="J40" s="252"/>
      <c r="K40" s="252"/>
      <c r="L40" s="252"/>
      <c r="M40" s="252"/>
      <c r="N40" s="252"/>
      <c r="O40" s="252"/>
      <c r="P40" s="252"/>
      <c r="Q40" s="304"/>
      <c r="R40" s="240"/>
      <c r="S40" s="236"/>
    </row>
    <row r="41" spans="1:19" x14ac:dyDescent="0.2">
      <c r="I41" s="252"/>
      <c r="J41" s="252"/>
      <c r="K41" s="252"/>
      <c r="L41" s="252"/>
      <c r="M41" s="252"/>
      <c r="N41" s="252"/>
      <c r="O41" s="252"/>
      <c r="P41" s="252"/>
      <c r="Q41" s="304"/>
      <c r="R41" s="240"/>
      <c r="S41" s="236"/>
    </row>
    <row r="42" spans="1:19" x14ac:dyDescent="0.2">
      <c r="I42" s="252"/>
      <c r="J42" s="252"/>
      <c r="K42" s="252"/>
      <c r="L42" s="252"/>
      <c r="M42" s="252"/>
      <c r="N42" s="252"/>
      <c r="O42" s="252"/>
      <c r="P42" s="252"/>
      <c r="Q42" s="304"/>
      <c r="R42" s="240"/>
      <c r="S42" s="236"/>
    </row>
    <row r="43" spans="1:19" x14ac:dyDescent="0.2">
      <c r="I43" s="252"/>
      <c r="J43" s="252"/>
      <c r="K43" s="252"/>
      <c r="L43" s="252"/>
      <c r="M43" s="252"/>
      <c r="N43" s="252"/>
      <c r="O43" s="252"/>
      <c r="P43" s="252"/>
      <c r="Q43" s="304"/>
      <c r="R43" s="240"/>
      <c r="S43" s="236"/>
    </row>
    <row r="44" spans="1:19" x14ac:dyDescent="0.2">
      <c r="I44" s="252"/>
      <c r="J44" s="252"/>
      <c r="K44" s="252"/>
      <c r="L44" s="252"/>
      <c r="M44" s="252"/>
      <c r="N44" s="252"/>
      <c r="O44" s="252"/>
      <c r="P44" s="252"/>
      <c r="Q44" s="304"/>
      <c r="R44" s="240"/>
      <c r="S44" s="236"/>
    </row>
    <row r="45" spans="1:19" x14ac:dyDescent="0.2">
      <c r="I45" s="252"/>
      <c r="J45" s="252"/>
      <c r="K45" s="252"/>
      <c r="L45" s="252"/>
      <c r="M45" s="252"/>
      <c r="N45" s="252"/>
      <c r="O45" s="252"/>
      <c r="P45" s="252"/>
      <c r="Q45" s="304"/>
      <c r="R45" s="240"/>
      <c r="S45" s="236"/>
    </row>
    <row r="46" spans="1:19" x14ac:dyDescent="0.2">
      <c r="I46" s="252"/>
      <c r="J46" s="252"/>
      <c r="K46" s="252"/>
      <c r="L46" s="252"/>
      <c r="M46" s="252"/>
      <c r="N46" s="252"/>
      <c r="O46" s="252"/>
      <c r="P46" s="252"/>
      <c r="Q46" s="304"/>
      <c r="R46" s="240"/>
      <c r="S46" s="236"/>
    </row>
    <row r="47" spans="1:19" x14ac:dyDescent="0.2">
      <c r="I47" s="252"/>
      <c r="J47" s="252"/>
      <c r="K47" s="252"/>
      <c r="L47" s="252"/>
      <c r="M47" s="252"/>
      <c r="N47" s="252"/>
      <c r="O47" s="252"/>
      <c r="P47" s="252"/>
      <c r="Q47" s="304"/>
      <c r="R47" s="240"/>
      <c r="S47" s="236"/>
    </row>
    <row r="48" spans="1:19" x14ac:dyDescent="0.2">
      <c r="I48" s="252"/>
      <c r="J48" s="252"/>
      <c r="K48" s="252"/>
      <c r="L48" s="252"/>
      <c r="M48" s="252"/>
      <c r="N48" s="252"/>
      <c r="O48" s="252"/>
      <c r="P48" s="252"/>
      <c r="Q48" s="304"/>
      <c r="R48" s="240"/>
      <c r="S48" s="236"/>
    </row>
    <row r="49" spans="9:19" x14ac:dyDescent="0.2">
      <c r="I49" s="252"/>
      <c r="J49" s="252"/>
      <c r="K49" s="252"/>
      <c r="L49" s="252"/>
      <c r="M49" s="252"/>
      <c r="N49" s="252"/>
      <c r="O49" s="252"/>
      <c r="P49" s="252"/>
      <c r="Q49" s="304"/>
      <c r="R49" s="240"/>
      <c r="S49" s="236"/>
    </row>
    <row r="50" spans="9:19" x14ac:dyDescent="0.2">
      <c r="I50" s="252"/>
      <c r="J50" s="252"/>
      <c r="K50" s="252"/>
      <c r="L50" s="252"/>
      <c r="M50" s="252"/>
      <c r="N50" s="252"/>
      <c r="O50" s="252"/>
      <c r="P50" s="252"/>
      <c r="Q50" s="304"/>
      <c r="R50" s="240"/>
      <c r="S50" s="236"/>
    </row>
    <row r="51" spans="9:19" x14ac:dyDescent="0.2">
      <c r="I51" s="253"/>
      <c r="J51" s="253"/>
      <c r="K51" s="253"/>
      <c r="L51" s="253"/>
      <c r="M51" s="253"/>
      <c r="N51" s="253"/>
      <c r="O51" s="253"/>
      <c r="P51" s="253"/>
      <c r="Q51" s="304"/>
    </row>
  </sheetData>
  <mergeCells count="20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2:O118"/>
  <sheetViews>
    <sheetView tabSelected="1" view="pageBreakPreview" topLeftCell="A12" zoomScale="80" zoomScaleNormal="100" zoomScaleSheetLayoutView="80" workbookViewId="0">
      <selection activeCell="M58" sqref="M58"/>
    </sheetView>
  </sheetViews>
  <sheetFormatPr defaultColWidth="9.140625" defaultRowHeight="16.5" x14ac:dyDescent="0.3"/>
  <cols>
    <col min="1" max="1" width="4.42578125" style="21" customWidth="1"/>
    <col min="2" max="2" width="28.140625" style="25" customWidth="1"/>
    <col min="3" max="3" width="7.140625" style="22" customWidth="1"/>
    <col min="4" max="4" width="9.85546875" style="29" customWidth="1"/>
    <col min="5" max="6" width="3.5703125" style="21" customWidth="1"/>
    <col min="7" max="7" width="3.42578125" style="21" customWidth="1"/>
    <col min="8" max="8" width="29.7109375" style="25" customWidth="1"/>
    <col min="9" max="9" width="8" style="22" customWidth="1"/>
    <col min="10" max="10" width="9.85546875" style="29" customWidth="1"/>
    <col min="11" max="11" width="3.5703125" style="21" customWidth="1"/>
    <col min="12" max="12" width="3.5703125" style="108" customWidth="1"/>
    <col min="13" max="13" width="25" style="22" customWidth="1"/>
    <col min="14" max="14" width="9.7109375" style="29" customWidth="1"/>
    <col min="15" max="15" width="9.85546875" style="29" customWidth="1"/>
    <col min="16" max="16384" width="9.140625" style="21"/>
  </cols>
  <sheetData>
    <row r="2" spans="1:15" s="235" customFormat="1" ht="18" x14ac:dyDescent="0.25">
      <c r="A2" s="537" t="s">
        <v>185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1:15" s="235" customFormat="1" ht="18" x14ac:dyDescent="0.25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5" spans="1:15" x14ac:dyDescent="0.3">
      <c r="N5" s="24"/>
    </row>
    <row r="6" spans="1:15" x14ac:dyDescent="0.3">
      <c r="A6" s="1" t="s">
        <v>111</v>
      </c>
      <c r="B6" s="26"/>
      <c r="C6" s="133" t="s">
        <v>38</v>
      </c>
      <c r="D6" s="6" t="s">
        <v>40</v>
      </c>
      <c r="E6" s="1"/>
      <c r="F6" s="1"/>
      <c r="G6" s="1" t="s">
        <v>46</v>
      </c>
      <c r="H6" s="26"/>
      <c r="I6" s="88" t="s">
        <v>38</v>
      </c>
      <c r="J6" s="6" t="s">
        <v>40</v>
      </c>
      <c r="L6" s="107" t="s">
        <v>60</v>
      </c>
      <c r="M6" s="21"/>
      <c r="N6" s="28" t="s">
        <v>12</v>
      </c>
      <c r="O6" s="6" t="s">
        <v>40</v>
      </c>
    </row>
    <row r="7" spans="1:15" x14ac:dyDescent="0.3">
      <c r="A7" s="134">
        <f>Bareback!A21</f>
        <v>1</v>
      </c>
      <c r="B7" s="26" t="str">
        <f>Bareback!B21</f>
        <v>Cam Bruised Head - Standoff, AB</v>
      </c>
      <c r="C7" s="135">
        <f>Bareback!C21</f>
        <v>74</v>
      </c>
      <c r="D7" s="228">
        <f>Bareback!D21</f>
        <v>610.62399999999991</v>
      </c>
      <c r="E7" s="5"/>
      <c r="F7" s="5"/>
      <c r="G7" s="69">
        <f>'Saddle Bronc'!A21</f>
        <v>1</v>
      </c>
      <c r="H7" s="26" t="str">
        <f>'Saddle Bronc'!B21</f>
        <v>Kolby Kittson - Browning, MT</v>
      </c>
      <c r="I7" s="135">
        <f>'Saddle Bronc'!C21</f>
        <v>48</v>
      </c>
      <c r="J7" s="228">
        <f>'Saddle Bronc'!D21</f>
        <v>632.43200000000002</v>
      </c>
      <c r="L7" s="108">
        <f>'TR Heeler'!A21</f>
        <v>1</v>
      </c>
      <c r="M7" s="132" t="str">
        <f>'TR Heeler'!B21</f>
        <v>Boyd Wesley &amp; Garrett Benjamin</v>
      </c>
      <c r="N7" s="24">
        <f>'TR Heeler'!C21</f>
        <v>6.14</v>
      </c>
      <c r="O7" s="229">
        <f>'TR Heeler'!D21</f>
        <v>1184.7760000000003</v>
      </c>
    </row>
    <row r="8" spans="1:15" x14ac:dyDescent="0.3">
      <c r="A8" s="134"/>
      <c r="B8" s="26"/>
      <c r="C8" s="135"/>
      <c r="D8" s="228"/>
      <c r="E8" s="5"/>
      <c r="F8" s="5"/>
      <c r="G8" s="134"/>
      <c r="H8" s="26"/>
      <c r="I8" s="135"/>
      <c r="J8" s="228"/>
      <c r="L8" s="108">
        <f>'TR Heeler'!A22</f>
        <v>2</v>
      </c>
      <c r="M8" s="132" t="str">
        <f>'TR Heeler'!B22</f>
        <v>Nolan Conway &amp; Colten Lefthand</v>
      </c>
      <c r="N8" s="24">
        <f>'TR Heeler'!C22</f>
        <v>6.54</v>
      </c>
      <c r="O8" s="229">
        <f>'TR Heeler'!D22</f>
        <v>1030.2400000000002</v>
      </c>
    </row>
    <row r="9" spans="1:15" x14ac:dyDescent="0.3">
      <c r="A9" s="134"/>
      <c r="B9" s="26"/>
      <c r="C9" s="135"/>
      <c r="D9" s="228"/>
      <c r="E9" s="5"/>
      <c r="F9" s="5"/>
      <c r="G9" s="134"/>
      <c r="H9" s="26"/>
      <c r="I9" s="135"/>
      <c r="J9" s="228"/>
      <c r="L9" s="108">
        <f>'TR Heeler'!A23</f>
        <v>3</v>
      </c>
      <c r="M9" s="132" t="str">
        <f>'TR Heeler'!B23</f>
        <v>Cameron Billy &amp; Colten Lefthand</v>
      </c>
      <c r="N9" s="24">
        <f>'TR Heeler'!C23</f>
        <v>6.72</v>
      </c>
      <c r="O9" s="229">
        <f>'TR Heeler'!D23</f>
        <v>875.70400000000018</v>
      </c>
    </row>
    <row r="10" spans="1:15" x14ac:dyDescent="0.3">
      <c r="A10" s="134"/>
      <c r="B10" s="26"/>
      <c r="C10" s="135"/>
      <c r="D10" s="228"/>
      <c r="E10" s="5"/>
      <c r="F10" s="5"/>
      <c r="G10" s="134"/>
      <c r="H10" s="26"/>
      <c r="I10" s="135"/>
      <c r="J10" s="228"/>
      <c r="L10" s="108">
        <f>'TR Heeler'!A24</f>
        <v>4</v>
      </c>
      <c r="M10" s="132" t="str">
        <f>'TR Heeler'!B24</f>
        <v>Casey Cummins &amp; Brandon Ben</v>
      </c>
      <c r="N10" s="24">
        <f>'TR Heeler'!C24</f>
        <v>6.79</v>
      </c>
      <c r="O10" s="229">
        <f>'TR Heeler'!D24</f>
        <v>721.16800000000012</v>
      </c>
    </row>
    <row r="11" spans="1:15" x14ac:dyDescent="0.3">
      <c r="A11" s="134"/>
      <c r="B11" s="26"/>
      <c r="C11" s="135"/>
      <c r="D11" s="228"/>
      <c r="E11" s="5"/>
      <c r="F11" s="5"/>
      <c r="G11" s="134"/>
      <c r="H11" s="26"/>
      <c r="I11" s="135"/>
      <c r="J11" s="228"/>
      <c r="L11" s="108">
        <f>'TR Heeler'!A25</f>
        <v>5</v>
      </c>
      <c r="M11" s="132" t="str">
        <f>'TR Heeler'!B25</f>
        <v>Billy Potts &amp; Garrett Benjamin</v>
      </c>
      <c r="N11" s="24">
        <f>'TR Heeler'!C25</f>
        <v>6.91</v>
      </c>
      <c r="O11" s="229">
        <f>'TR Heeler'!D25</f>
        <v>566.63200000000006</v>
      </c>
    </row>
    <row r="12" spans="1:15" x14ac:dyDescent="0.3">
      <c r="A12" s="134"/>
      <c r="B12" s="26"/>
      <c r="C12" s="135"/>
      <c r="D12" s="228"/>
      <c r="E12" s="5"/>
      <c r="F12" s="5"/>
      <c r="G12" s="134"/>
      <c r="H12" s="26"/>
      <c r="I12" s="135"/>
      <c r="J12" s="228"/>
      <c r="L12" s="108">
        <f>'TR Heeler'!A26</f>
        <v>6</v>
      </c>
      <c r="M12" s="132" t="str">
        <f>'TR Heeler'!B26</f>
        <v>Jackson Louis &amp; Casey Cummins</v>
      </c>
      <c r="N12" s="24">
        <f>'TR Heeler'!C26</f>
        <v>7.77</v>
      </c>
      <c r="O12" s="229">
        <f>'TR Heeler'!D26</f>
        <v>412.09600000000006</v>
      </c>
    </row>
    <row r="13" spans="1:15" x14ac:dyDescent="0.3">
      <c r="E13" s="5"/>
      <c r="F13" s="5"/>
      <c r="G13" s="134"/>
      <c r="H13" s="134"/>
      <c r="I13" s="134"/>
      <c r="J13" s="134"/>
      <c r="L13" s="108">
        <f>'TR Heeler'!A27</f>
        <v>7</v>
      </c>
      <c r="M13" s="132" t="str">
        <f>'TR Heeler'!B27</f>
        <v>Talan Cummins &amp; Clay Gunshows</v>
      </c>
      <c r="N13" s="24">
        <f>'TR Heeler'!C27</f>
        <v>8.0399999999999991</v>
      </c>
      <c r="O13" s="229">
        <f>'TR Heeler'!D27</f>
        <v>257.56000000000006</v>
      </c>
    </row>
    <row r="14" spans="1:15" x14ac:dyDescent="0.3">
      <c r="A14" s="1" t="s">
        <v>112</v>
      </c>
      <c r="B14" s="26"/>
      <c r="C14" s="133" t="s">
        <v>38</v>
      </c>
      <c r="D14" s="6" t="s">
        <v>40</v>
      </c>
      <c r="E14" s="5"/>
      <c r="F14" s="5"/>
      <c r="G14" s="1" t="s">
        <v>47</v>
      </c>
      <c r="H14" s="26"/>
      <c r="I14" s="88" t="s">
        <v>38</v>
      </c>
      <c r="J14" s="6" t="s">
        <v>40</v>
      </c>
      <c r="L14" s="108">
        <f>'TR Heeler'!A28</f>
        <v>8</v>
      </c>
      <c r="M14" s="132" t="str">
        <f>'TR Heeler'!B28</f>
        <v>Wright Bruised Head &amp; Otys Little Mustache</v>
      </c>
      <c r="N14" s="24">
        <f>'TR Heeler'!C28</f>
        <v>8.26</v>
      </c>
      <c r="O14" s="229">
        <f>'TR Heeler'!D28</f>
        <v>103.02400000000002</v>
      </c>
    </row>
    <row r="15" spans="1:15" x14ac:dyDescent="0.3">
      <c r="A15" s="134">
        <f>Bareback!F21</f>
        <v>1</v>
      </c>
      <c r="B15" s="26" t="str">
        <f>Bareback!G21</f>
        <v>Curly Twigg - Lethbridge, AB</v>
      </c>
      <c r="C15" s="135">
        <f>Bareback!H21</f>
        <v>65</v>
      </c>
      <c r="D15" s="228">
        <f>Bareback!I21</f>
        <v>421.12</v>
      </c>
      <c r="E15" s="5"/>
      <c r="F15" s="5"/>
      <c r="G15" s="89">
        <f>'Saddle Bronc'!F21</f>
        <v>1</v>
      </c>
      <c r="H15" s="26" t="str">
        <f>'Saddle Bronc'!G21</f>
        <v>Kolby Kittson - Browning, MT</v>
      </c>
      <c r="I15" s="135">
        <f>'Saddle Bronc'!H21</f>
        <v>82</v>
      </c>
      <c r="J15" s="228">
        <f>'Saddle Bronc'!I21</f>
        <v>436.16000000000008</v>
      </c>
      <c r="N15" s="24"/>
      <c r="O15" s="229"/>
    </row>
    <row r="16" spans="1:15" x14ac:dyDescent="0.3">
      <c r="A16" s="134">
        <f>Bareback!F22</f>
        <v>2</v>
      </c>
      <c r="B16" s="26" t="str">
        <f>Bareback!G22</f>
        <v>Clay Ramone - Hoopa, CA</v>
      </c>
      <c r="C16" s="135">
        <f>Bareback!H22</f>
        <v>60</v>
      </c>
      <c r="D16" s="228">
        <f>Bareback!I22</f>
        <v>315.83999999999997</v>
      </c>
      <c r="E16" s="5"/>
      <c r="F16" s="5"/>
      <c r="G16" s="134"/>
      <c r="H16" s="26"/>
      <c r="I16" s="135"/>
      <c r="J16" s="228"/>
      <c r="L16" s="107" t="s">
        <v>61</v>
      </c>
      <c r="M16" s="21"/>
      <c r="N16" s="28" t="s">
        <v>12</v>
      </c>
      <c r="O16" s="233" t="s">
        <v>40</v>
      </c>
    </row>
    <row r="17" spans="1:15" x14ac:dyDescent="0.3">
      <c r="A17" s="134"/>
      <c r="B17" s="26"/>
      <c r="C17" s="135"/>
      <c r="D17" s="228"/>
      <c r="E17" s="5"/>
      <c r="F17" s="5"/>
      <c r="G17" s="134"/>
      <c r="H17" s="26"/>
      <c r="I17" s="135"/>
      <c r="J17" s="228"/>
      <c r="L17" s="108">
        <f>'TR Heeler'!F21</f>
        <v>1</v>
      </c>
      <c r="M17" s="132" t="str">
        <f>'TR Heeler'!G21</f>
        <v>Billy Potts &amp; Garrett Benjamin</v>
      </c>
      <c r="N17" s="24">
        <f>'TR Heeler'!H21</f>
        <v>6.84</v>
      </c>
      <c r="O17" s="229">
        <f>'TR Heeler'!I21</f>
        <v>746.92400000000009</v>
      </c>
    </row>
    <row r="18" spans="1:15" x14ac:dyDescent="0.3">
      <c r="A18" s="134"/>
      <c r="B18" s="26"/>
      <c r="C18" s="135"/>
      <c r="D18" s="228"/>
      <c r="E18" s="5"/>
      <c r="F18" s="5"/>
      <c r="G18" s="134"/>
      <c r="H18" s="26"/>
      <c r="I18" s="135"/>
      <c r="J18" s="228"/>
      <c r="L18" s="108">
        <f>'TR Heeler'!F22</f>
        <v>2</v>
      </c>
      <c r="M18" s="132" t="str">
        <f>'TR Heeler'!G22</f>
        <v>Jackson Louis &amp; Casey Cummins</v>
      </c>
      <c r="N18" s="24">
        <f>'TR Heeler'!H22</f>
        <v>7.39</v>
      </c>
      <c r="O18" s="229">
        <f>'TR Heeler'!I22</f>
        <v>618.14400000000012</v>
      </c>
    </row>
    <row r="19" spans="1:15" x14ac:dyDescent="0.3">
      <c r="E19" s="5"/>
      <c r="F19" s="5"/>
      <c r="G19" s="134"/>
      <c r="H19" s="134"/>
      <c r="I19" s="134"/>
      <c r="J19" s="134"/>
      <c r="L19" s="108">
        <f>'TR Heeler'!F23</f>
        <v>3</v>
      </c>
      <c r="M19" s="132" t="str">
        <f>'TR Heeler'!G23</f>
        <v>Talan Cummins &amp; Clay Gunshows</v>
      </c>
      <c r="N19" s="24">
        <f>'TR Heeler'!H23</f>
        <v>8.74</v>
      </c>
      <c r="O19" s="229">
        <f>'TR Heeler'!I23</f>
        <v>489.36400000000009</v>
      </c>
    </row>
    <row r="20" spans="1:15" x14ac:dyDescent="0.3">
      <c r="A20" s="1" t="s">
        <v>113</v>
      </c>
      <c r="B20" s="26"/>
      <c r="C20" s="133" t="s">
        <v>38</v>
      </c>
      <c r="D20" s="6" t="s">
        <v>40</v>
      </c>
      <c r="E20" s="5"/>
      <c r="F20" s="5"/>
      <c r="G20" s="1" t="s">
        <v>48</v>
      </c>
      <c r="H20" s="26"/>
      <c r="I20" s="88" t="s">
        <v>38</v>
      </c>
      <c r="J20" s="6" t="s">
        <v>40</v>
      </c>
      <c r="L20" s="108">
        <f>'TR Heeler'!F24</f>
        <v>4</v>
      </c>
      <c r="M20" s="132" t="str">
        <f>'TR Heeler'!G24</f>
        <v>Ty St Goddard &amp; Shawn Bird</v>
      </c>
      <c r="N20" s="24">
        <f>'TR Heeler'!H24</f>
        <v>10.84</v>
      </c>
      <c r="O20" s="229">
        <f>'TR Heeler'!I24</f>
        <v>360.58400000000006</v>
      </c>
    </row>
    <row r="21" spans="1:15" x14ac:dyDescent="0.3">
      <c r="A21" s="134">
        <f>Bareback!K21</f>
        <v>1</v>
      </c>
      <c r="B21" s="26" t="str">
        <f>Bareback!L21</f>
        <v>Cam Bruised Head - Standoff, AB</v>
      </c>
      <c r="C21" s="135">
        <f>Bareback!M21</f>
        <v>74</v>
      </c>
      <c r="D21" s="228">
        <f>Bareback!N21</f>
        <v>610.62399999999991</v>
      </c>
      <c r="E21" s="5"/>
      <c r="F21" s="5"/>
      <c r="G21" s="89">
        <f>'Saddle Bronc'!K21</f>
        <v>1</v>
      </c>
      <c r="H21" s="26" t="str">
        <f>'Saddle Bronc'!L21</f>
        <v>Kolby Kittson - Browning, MT</v>
      </c>
      <c r="I21" s="135">
        <f>'Saddle Bronc'!M21</f>
        <v>130</v>
      </c>
      <c r="J21" s="228">
        <f>'Saddle Bronc'!N21</f>
        <v>632.43200000000002</v>
      </c>
      <c r="L21" s="108">
        <f>'TR Heeler'!F25</f>
        <v>5</v>
      </c>
      <c r="M21" s="132" t="str">
        <f>'TR Heeler'!G25</f>
        <v>Boyd Wesley &amp; Garrett Benjamin</v>
      </c>
      <c r="N21" s="24">
        <f>'TR Heeler'!H25</f>
        <v>11.56</v>
      </c>
      <c r="O21" s="229">
        <f>'TR Heeler'!I25</f>
        <v>231.80400000000003</v>
      </c>
    </row>
    <row r="22" spans="1:15" x14ac:dyDescent="0.3">
      <c r="A22" s="134"/>
      <c r="B22" s="26"/>
      <c r="C22" s="135"/>
      <c r="D22" s="228"/>
      <c r="E22" s="5"/>
      <c r="F22" s="5"/>
      <c r="G22" s="134"/>
      <c r="H22" s="26"/>
      <c r="I22" s="135"/>
      <c r="J22" s="228"/>
      <c r="L22" s="108">
        <f>'TR Heeler'!F26</f>
        <v>6</v>
      </c>
      <c r="M22" s="132" t="str">
        <f>'TR Heeler'!G26</f>
        <v>Cameron Billy &amp; Colten Lefthand</v>
      </c>
      <c r="N22" s="24">
        <f>'TR Heeler'!H26</f>
        <v>11.62</v>
      </c>
      <c r="O22" s="229">
        <f>'TR Heeler'!I26</f>
        <v>128.78000000000003</v>
      </c>
    </row>
    <row r="23" spans="1:15" x14ac:dyDescent="0.3">
      <c r="A23" s="134"/>
      <c r="B23" s="26"/>
      <c r="C23" s="135"/>
      <c r="D23" s="228"/>
      <c r="E23" s="5"/>
      <c r="F23" s="5"/>
      <c r="G23" s="134"/>
      <c r="H23" s="26"/>
      <c r="I23" s="135"/>
      <c r="J23" s="228"/>
      <c r="N23" s="24"/>
      <c r="O23" s="229"/>
    </row>
    <row r="24" spans="1:15" x14ac:dyDescent="0.3">
      <c r="A24" s="134"/>
      <c r="B24" s="26"/>
      <c r="C24" s="135"/>
      <c r="D24" s="228"/>
      <c r="E24" s="5"/>
      <c r="F24" s="5"/>
      <c r="G24" s="134"/>
      <c r="H24" s="26"/>
      <c r="I24" s="135"/>
      <c r="J24" s="228"/>
      <c r="L24" s="107" t="s">
        <v>62</v>
      </c>
      <c r="M24" s="21"/>
      <c r="N24" s="28" t="s">
        <v>12</v>
      </c>
      <c r="O24" s="233" t="s">
        <v>40</v>
      </c>
    </row>
    <row r="25" spans="1:15" x14ac:dyDescent="0.3">
      <c r="A25" s="134"/>
      <c r="B25" s="26"/>
      <c r="C25" s="135"/>
      <c r="D25" s="228"/>
      <c r="E25" s="5"/>
      <c r="F25" s="5"/>
      <c r="G25" s="134"/>
      <c r="H25" s="26"/>
      <c r="I25" s="135"/>
      <c r="J25" s="228"/>
      <c r="L25" s="108">
        <f>'TR Heeler'!K21</f>
        <v>1</v>
      </c>
      <c r="M25" s="132" t="str">
        <f>'TR Heeler'!L21</f>
        <v>Billy Potts &amp; Garrett Benjamin</v>
      </c>
      <c r="N25" s="24">
        <f>'TR Heeler'!M21</f>
        <v>13.75</v>
      </c>
      <c r="O25" s="229">
        <f>'TR Heeler'!N21</f>
        <v>1184.7760000000003</v>
      </c>
    </row>
    <row r="26" spans="1:15" x14ac:dyDescent="0.3">
      <c r="A26" s="134"/>
      <c r="B26" s="26"/>
      <c r="C26" s="135"/>
      <c r="D26" s="228"/>
      <c r="E26" s="5"/>
      <c r="F26" s="5"/>
      <c r="G26" s="134"/>
      <c r="H26" s="26"/>
      <c r="I26" s="135"/>
      <c r="J26" s="228"/>
      <c r="L26" s="108">
        <f>'TR Heeler'!K22</f>
        <v>2</v>
      </c>
      <c r="M26" s="132" t="str">
        <f>'TR Heeler'!L22</f>
        <v>Jackson Louis &amp; Casey Cummins</v>
      </c>
      <c r="N26" s="24">
        <f>'TR Heeler'!M22</f>
        <v>15.16</v>
      </c>
      <c r="O26" s="229">
        <f>'TR Heeler'!N22</f>
        <v>1030.2400000000002</v>
      </c>
    </row>
    <row r="27" spans="1:15" x14ac:dyDescent="0.3">
      <c r="A27" s="134"/>
      <c r="B27" s="134"/>
      <c r="C27" s="134"/>
      <c r="D27" s="134"/>
      <c r="E27" s="5"/>
      <c r="F27" s="5"/>
      <c r="G27" s="134"/>
      <c r="H27" s="134"/>
      <c r="I27" s="134"/>
      <c r="J27" s="230"/>
      <c r="L27" s="108">
        <f>'TR Heeler'!K23</f>
        <v>3</v>
      </c>
      <c r="M27" s="132" t="str">
        <f>'TR Heeler'!L23</f>
        <v>Talan Cummins &amp; Clay Gunshows</v>
      </c>
      <c r="N27" s="24">
        <f>'TR Heeler'!M23</f>
        <v>16.78</v>
      </c>
      <c r="O27" s="229">
        <f>'TR Heeler'!N23</f>
        <v>875.70400000000018</v>
      </c>
    </row>
    <row r="28" spans="1:15" x14ac:dyDescent="0.3">
      <c r="A28" s="1" t="s">
        <v>49</v>
      </c>
      <c r="B28" s="26"/>
      <c r="C28" s="28" t="s">
        <v>12</v>
      </c>
      <c r="D28" s="6" t="s">
        <v>40</v>
      </c>
      <c r="E28" s="5"/>
      <c r="F28" s="5"/>
      <c r="G28" s="1" t="s">
        <v>115</v>
      </c>
      <c r="H28" s="26"/>
      <c r="I28" s="28" t="s">
        <v>12</v>
      </c>
      <c r="J28" s="6" t="s">
        <v>40</v>
      </c>
      <c r="L28" s="108">
        <f>'TR Heeler'!K24</f>
        <v>4</v>
      </c>
      <c r="M28" s="132" t="str">
        <f>'TR Heeler'!L24</f>
        <v>Boyd Wesley &amp; Garrett Benjamin</v>
      </c>
      <c r="N28" s="24">
        <f>'TR Heeler'!M24</f>
        <v>17.7</v>
      </c>
      <c r="O28" s="229">
        <f>'TR Heeler'!N24</f>
        <v>721.16800000000012</v>
      </c>
    </row>
    <row r="29" spans="1:15" x14ac:dyDescent="0.3">
      <c r="A29" s="5">
        <f>'Steer Wrestling'!A21</f>
        <v>1</v>
      </c>
      <c r="B29" s="26" t="str">
        <f>'Steer Wrestling'!B21</f>
        <v>Arlan Minue - Warner, AB</v>
      </c>
      <c r="C29" s="27">
        <f>'Steer Wrestling'!C21</f>
        <v>5.24</v>
      </c>
      <c r="D29" s="228">
        <f>'Steer Wrestling'!D21</f>
        <v>883.22400000000005</v>
      </c>
      <c r="E29" s="5"/>
      <c r="F29" s="5"/>
      <c r="G29" s="21">
        <f>'Tie Down Roping'!A21</f>
        <v>1</v>
      </c>
      <c r="H29" s="25" t="str">
        <f>'Tie Down Roping'!B21</f>
        <v>Gavaro Harrison - Chinle, AZ</v>
      </c>
      <c r="I29" s="231">
        <f>'Tie Down Roping'!C21</f>
        <v>10.02</v>
      </c>
      <c r="J29" s="229">
        <f>'Tie Down Roping'!D21</f>
        <v>905.03200000000004</v>
      </c>
      <c r="L29" s="108">
        <f>'TR Heeler'!K25</f>
        <v>5</v>
      </c>
      <c r="M29" s="132" t="str">
        <f>'TR Heeler'!L25</f>
        <v>Cameron Billy &amp; Colten Lefthand</v>
      </c>
      <c r="N29" s="24">
        <f>'TR Heeler'!M25</f>
        <v>18.34</v>
      </c>
      <c r="O29" s="229">
        <f>'TR Heeler'!N25</f>
        <v>566.63200000000006</v>
      </c>
    </row>
    <row r="30" spans="1:15" x14ac:dyDescent="0.3">
      <c r="A30" s="5">
        <f>'Steer Wrestling'!A22</f>
        <v>2</v>
      </c>
      <c r="B30" s="26" t="str">
        <f>'Steer Wrestling'!B22</f>
        <v>Kyle Jacobs - Tsuut'Ina, AB</v>
      </c>
      <c r="C30" s="27">
        <f>'Steer Wrestling'!C22</f>
        <v>6.02</v>
      </c>
      <c r="D30" s="228">
        <f>'Steer Wrestling'!D22</f>
        <v>730.94400000000007</v>
      </c>
      <c r="E30" s="5"/>
      <c r="F30" s="5"/>
      <c r="G30" s="21">
        <f>'Tie Down Roping'!A22</f>
        <v>2</v>
      </c>
      <c r="H30" s="25" t="str">
        <f>'Tie Down Roping'!B22</f>
        <v>Nolan Conway - Cut Bank, MT</v>
      </c>
      <c r="I30" s="231">
        <f>'Tie Down Roping'!C22</f>
        <v>10.58</v>
      </c>
      <c r="J30" s="229">
        <f>'Tie Down Roping'!D22</f>
        <v>748.99199999999996</v>
      </c>
      <c r="L30" s="108">
        <f>'TR Heeler'!K26</f>
        <v>6</v>
      </c>
      <c r="M30" s="132" t="str">
        <f>'TR Heeler'!L26</f>
        <v>Casey Cummins &amp; Brandon Ben</v>
      </c>
      <c r="N30" s="24">
        <f>'TR Heeler'!M26</f>
        <v>19.02</v>
      </c>
      <c r="O30" s="229">
        <f>'TR Heeler'!N26</f>
        <v>412.09600000000006</v>
      </c>
    </row>
    <row r="31" spans="1:15" x14ac:dyDescent="0.3">
      <c r="A31" s="5">
        <f>'Steer Wrestling'!A23</f>
        <v>3</v>
      </c>
      <c r="B31" s="26" t="str">
        <f>'Steer Wrestling'!B23</f>
        <v>Otys Little Mustache - Brocket, AB</v>
      </c>
      <c r="C31" s="27">
        <f>'Steer Wrestling'!C23</f>
        <v>6.03</v>
      </c>
      <c r="D31" s="228">
        <f>'Steer Wrestling'!D23</f>
        <v>578.6640000000001</v>
      </c>
      <c r="E31" s="5"/>
      <c r="F31" s="5"/>
      <c r="G31" s="21">
        <f>'Tie Down Roping'!A23</f>
        <v>3</v>
      </c>
      <c r="H31" s="25" t="str">
        <f>'Tie Down Roping'!B23</f>
        <v>Dustin Bird - Cut Bank, MT</v>
      </c>
      <c r="I31" s="231">
        <f>'Tie Down Roping'!C23</f>
        <v>12.13</v>
      </c>
      <c r="J31" s="229">
        <f>'Tie Down Roping'!D23</f>
        <v>592.952</v>
      </c>
      <c r="L31" s="108">
        <f>'TR Heeler'!K27</f>
        <v>7</v>
      </c>
      <c r="M31" s="132" t="str">
        <f>'TR Heeler'!L27</f>
        <v>Ty St Goddard &amp; Shawn Bird</v>
      </c>
      <c r="N31" s="24">
        <f>'TR Heeler'!M27</f>
        <v>19.98</v>
      </c>
      <c r="O31" s="229">
        <f>'TR Heeler'!N27</f>
        <v>257.56000000000006</v>
      </c>
    </row>
    <row r="32" spans="1:15" x14ac:dyDescent="0.3">
      <c r="A32" s="5">
        <f>'Steer Wrestling'!A24</f>
        <v>4</v>
      </c>
      <c r="B32" s="26" t="str">
        <f>'Steer Wrestling'!B24</f>
        <v>Shane Day Chief - Standoff, AB</v>
      </c>
      <c r="C32" s="27">
        <f>'Steer Wrestling'!C24</f>
        <v>8.1</v>
      </c>
      <c r="D32" s="228">
        <f>'Steer Wrestling'!D24</f>
        <v>426.38400000000007</v>
      </c>
      <c r="E32" s="5"/>
      <c r="F32" s="5"/>
      <c r="G32" s="21">
        <f>'Tie Down Roping'!A24</f>
        <v>4</v>
      </c>
      <c r="H32" s="25" t="str">
        <f>'Tie Down Roping'!B24</f>
        <v>Troy Crawler - Morley, AB</v>
      </c>
      <c r="I32" s="231">
        <f>'Tie Down Roping'!C24</f>
        <v>12.2</v>
      </c>
      <c r="J32" s="229">
        <f>'Tie Down Roping'!D24</f>
        <v>436.91200000000009</v>
      </c>
      <c r="L32" s="108">
        <f>'TR Heeler'!K28</f>
        <v>8</v>
      </c>
      <c r="M32" s="132" t="str">
        <f>'TR Heeler'!L28</f>
        <v>Nolan Conway &amp; Colten Lefthand</v>
      </c>
      <c r="N32" s="24">
        <f>'TR Heeler'!M28</f>
        <v>6.54</v>
      </c>
      <c r="O32" s="229">
        <f>'TR Heeler'!N28</f>
        <v>103.02400000000002</v>
      </c>
    </row>
    <row r="33" spans="1:15" x14ac:dyDescent="0.3">
      <c r="A33" s="5">
        <f>'Steer Wrestling'!A25</f>
        <v>5</v>
      </c>
      <c r="B33" s="26" t="str">
        <f>'Steer Wrestling'!B25</f>
        <v>Nolan Conway - Cut Bank, MT</v>
      </c>
      <c r="C33" s="27">
        <f>'Steer Wrestling'!C25</f>
        <v>8.1999999999999993</v>
      </c>
      <c r="D33" s="228">
        <f>'Steer Wrestling'!D25</f>
        <v>274.10400000000004</v>
      </c>
      <c r="E33" s="5"/>
      <c r="F33" s="5"/>
      <c r="G33" s="21">
        <f>'Tie Down Roping'!A25</f>
        <v>5</v>
      </c>
      <c r="H33" s="25" t="str">
        <f>'Tie Down Roping'!B25</f>
        <v>Zane Not Afraid - Lodge Grass, MT</v>
      </c>
      <c r="I33" s="231">
        <f>'Tie Down Roping'!C25</f>
        <v>13.43</v>
      </c>
      <c r="J33" s="229">
        <f>'Tie Down Roping'!D25</f>
        <v>280.87200000000001</v>
      </c>
      <c r="L33" s="21"/>
      <c r="M33" s="21"/>
      <c r="N33" s="21"/>
      <c r="O33" s="232"/>
    </row>
    <row r="34" spans="1:15" x14ac:dyDescent="0.3">
      <c r="A34" s="5">
        <f>'Steer Wrestling'!A26</f>
        <v>6</v>
      </c>
      <c r="B34" s="26" t="str">
        <f>'Steer Wrestling'!B26</f>
        <v>Bart Holloway - Siksika, AB</v>
      </c>
      <c r="C34" s="27">
        <f>'Steer Wrestling'!C26</f>
        <v>10.29</v>
      </c>
      <c r="D34" s="228">
        <f>'Steer Wrestling'!D26</f>
        <v>152.28000000000003</v>
      </c>
      <c r="E34" s="5"/>
      <c r="F34" s="5"/>
      <c r="G34" s="21">
        <f>'Tie Down Roping'!A26</f>
        <v>6</v>
      </c>
      <c r="H34" s="25" t="str">
        <f>'Tie Down Roping'!B26</f>
        <v>Jay Crawler - Morley, AB</v>
      </c>
      <c r="I34" s="231">
        <f>'Tie Down Roping'!C26</f>
        <v>15.56</v>
      </c>
      <c r="J34" s="229">
        <f>'Tie Down Roping'!D26</f>
        <v>156.04000000000002</v>
      </c>
      <c r="L34" s="1" t="s">
        <v>54</v>
      </c>
      <c r="M34" s="26"/>
      <c r="N34" s="105" t="s">
        <v>12</v>
      </c>
      <c r="O34" s="6" t="s">
        <v>40</v>
      </c>
    </row>
    <row r="35" spans="1:15" x14ac:dyDescent="0.3">
      <c r="A35" s="5"/>
      <c r="B35" s="5"/>
      <c r="C35" s="5"/>
      <c r="D35" s="5"/>
      <c r="E35" s="5"/>
      <c r="F35" s="5"/>
      <c r="H35" s="21"/>
      <c r="I35" s="21"/>
      <c r="J35" s="21"/>
      <c r="L35" s="21">
        <f>'Barrel Racing'!A21</f>
        <v>1</v>
      </c>
      <c r="M35" s="25" t="str">
        <f>'Barrel Racing'!B21</f>
        <v>Sonya Dodginghorse - Tsuu T'Ina Nation, AB</v>
      </c>
      <c r="N35" s="106">
        <f>'Barrel Racing'!C21</f>
        <v>16.361000000000001</v>
      </c>
      <c r="O35" s="229">
        <f>'Barrel Racing'!D21</f>
        <v>1090.3999999999999</v>
      </c>
    </row>
    <row r="36" spans="1:15" x14ac:dyDescent="0.3">
      <c r="A36" s="1" t="s">
        <v>50</v>
      </c>
      <c r="B36" s="26"/>
      <c r="C36" s="28" t="s">
        <v>12</v>
      </c>
      <c r="D36" s="6" t="s">
        <v>40</v>
      </c>
      <c r="F36" s="5"/>
      <c r="G36" s="1" t="s">
        <v>116</v>
      </c>
      <c r="H36" s="26"/>
      <c r="I36" s="28" t="s">
        <v>12</v>
      </c>
      <c r="J36" s="6" t="s">
        <v>40</v>
      </c>
      <c r="K36" s="5"/>
      <c r="L36" s="21">
        <f>'Barrel Racing'!A22</f>
        <v>2</v>
      </c>
      <c r="M36" s="25" t="str">
        <f>'Barrel Racing'!B22</f>
        <v>Cayda Dodginghorse - Tsuut'Ina Nation, AB</v>
      </c>
      <c r="N36" s="106">
        <f>'Barrel Racing'!C22</f>
        <v>16.510000000000002</v>
      </c>
      <c r="O36" s="229">
        <f>'Barrel Racing'!D22</f>
        <v>902.4</v>
      </c>
    </row>
    <row r="37" spans="1:15" x14ac:dyDescent="0.3">
      <c r="A37" s="21">
        <f>'Steer Wrestling'!F21</f>
        <v>1</v>
      </c>
      <c r="B37" s="25" t="str">
        <f>'Steer Wrestling'!G21</f>
        <v>Trevin Fox - Fort Hall</v>
      </c>
      <c r="C37" s="24">
        <f>'Steer Wrestling'!H21</f>
        <v>3.89</v>
      </c>
      <c r="D37" s="229">
        <f>'Steer Wrestling'!I21</f>
        <v>609.12000000000012</v>
      </c>
      <c r="F37" s="5"/>
      <c r="G37" s="21">
        <f>'Tie Down Roping'!F21</f>
        <v>1</v>
      </c>
      <c r="H37" s="25" t="str">
        <f>'Tie Down Roping'!G21</f>
        <v>Dustin Bird - Cut Bank, MT</v>
      </c>
      <c r="I37" s="24">
        <f>'Tie Down Roping'!H21</f>
        <v>9.44</v>
      </c>
      <c r="J37" s="229">
        <f>'Tie Down Roping'!I21</f>
        <v>624.16000000000008</v>
      </c>
      <c r="K37" s="5"/>
      <c r="L37" s="21">
        <f>'Barrel Racing'!A23</f>
        <v>3</v>
      </c>
      <c r="M37" s="25" t="str">
        <f>'Barrel Racing'!B23</f>
        <v>Tristin Bull - Good Fish Lake, AB</v>
      </c>
      <c r="N37" s="106">
        <f>'Barrel Racing'!C23</f>
        <v>16.567</v>
      </c>
      <c r="O37" s="229">
        <f>'Barrel Racing'!D23</f>
        <v>714.4</v>
      </c>
    </row>
    <row r="38" spans="1:15" x14ac:dyDescent="0.3">
      <c r="A38" s="21">
        <f>'Steer Wrestling'!F22</f>
        <v>2</v>
      </c>
      <c r="B38" s="25" t="str">
        <f>'Steer Wrestling'!G22</f>
        <v>Otys Little Mustache - Brocket, AB</v>
      </c>
      <c r="C38" s="24">
        <f>'Steer Wrestling'!H22</f>
        <v>6.25</v>
      </c>
      <c r="D38" s="229">
        <f>'Steer Wrestling'!I22</f>
        <v>456.84000000000003</v>
      </c>
      <c r="F38" s="5"/>
      <c r="G38" s="21">
        <f>'Tie Down Roping'!F22</f>
        <v>2</v>
      </c>
      <c r="H38" s="25" t="str">
        <f>'Tie Down Roping'!G22</f>
        <v>Troy Crawler - Morley, AB</v>
      </c>
      <c r="I38" s="24">
        <f>'Tie Down Roping'!H22</f>
        <v>9.75</v>
      </c>
      <c r="J38" s="229">
        <f>'Tie Down Roping'!I22</f>
        <v>468.12</v>
      </c>
      <c r="K38" s="5"/>
      <c r="L38" s="21">
        <f>'Barrel Racing'!A24</f>
        <v>4</v>
      </c>
      <c r="M38" s="25" t="str">
        <f>'Barrel Racing'!B24</f>
        <v>Cheyenne Black Water - Cardston, AB</v>
      </c>
      <c r="N38" s="106">
        <f>'Barrel Racing'!C24</f>
        <v>16.582000000000001</v>
      </c>
      <c r="O38" s="229">
        <f>'Barrel Racing'!D24</f>
        <v>526.40000000000009</v>
      </c>
    </row>
    <row r="39" spans="1:15" x14ac:dyDescent="0.3">
      <c r="A39" s="21">
        <f>'Steer Wrestling'!F23</f>
        <v>3</v>
      </c>
      <c r="B39" s="25" t="str">
        <f>'Steer Wrestling'!G23</f>
        <v>Kaden Conway - Wickenberg, AZ</v>
      </c>
      <c r="C39" s="24">
        <f>'Steer Wrestling'!H23</f>
        <v>8.18</v>
      </c>
      <c r="D39" s="229">
        <f>'Steer Wrestling'!I23</f>
        <v>304.56000000000006</v>
      </c>
      <c r="F39" s="5"/>
      <c r="G39" s="21">
        <f>'Tie Down Roping'!F23</f>
        <v>3</v>
      </c>
      <c r="H39" s="25" t="str">
        <f>'Tie Down Roping'!G23</f>
        <v>Jay Crawler - Morley, AB</v>
      </c>
      <c r="I39" s="24">
        <f>'Tie Down Roping'!H23</f>
        <v>10.28</v>
      </c>
      <c r="J39" s="229">
        <f>'Tie Down Roping'!I23</f>
        <v>312.08000000000004</v>
      </c>
      <c r="K39" s="5"/>
      <c r="L39" s="21">
        <f>'Barrel Racing'!A25</f>
        <v>5</v>
      </c>
      <c r="M39" s="25" t="str">
        <f>'Barrel Racing'!B25</f>
        <v>Brittany Bird - Cut Bank, MT</v>
      </c>
      <c r="N39" s="106">
        <f>'Barrel Racing'!C25</f>
        <v>16.742999999999999</v>
      </c>
      <c r="O39" s="229">
        <f>'Barrel Racing'!D25</f>
        <v>338.4</v>
      </c>
    </row>
    <row r="40" spans="1:15" x14ac:dyDescent="0.3">
      <c r="A40" s="21">
        <f>'Steer Wrestling'!F24</f>
        <v>4</v>
      </c>
      <c r="C40" s="24"/>
      <c r="D40" s="229"/>
      <c r="F40" s="5"/>
      <c r="G40" s="21">
        <f>'Tie Down Roping'!F24</f>
        <v>4</v>
      </c>
      <c r="H40" s="25" t="str">
        <f>'Tie Down Roping'!G24</f>
        <v>Nolan Conway - Cut Bank, MT</v>
      </c>
      <c r="I40" s="24">
        <f>'Tie Down Roping'!H24</f>
        <v>10.66</v>
      </c>
      <c r="J40" s="229">
        <f>'Tie Down Roping'!I24</f>
        <v>156.04000000000002</v>
      </c>
      <c r="K40" s="5"/>
      <c r="L40" s="21">
        <f>'Barrel Racing'!A26</f>
        <v>6</v>
      </c>
      <c r="M40" s="25" t="str">
        <f>'Barrel Racing'!B26</f>
        <v>Shayanne Bear - Whitewood, SK</v>
      </c>
      <c r="N40" s="106">
        <f>'Barrel Racing'!C26</f>
        <v>16.748000000000001</v>
      </c>
      <c r="O40" s="229">
        <f>'Barrel Racing'!D26</f>
        <v>188</v>
      </c>
    </row>
    <row r="41" spans="1:15" x14ac:dyDescent="0.3">
      <c r="B41" s="21"/>
      <c r="C41" s="21"/>
      <c r="D41" s="21"/>
      <c r="F41" s="5"/>
      <c r="H41" s="21"/>
      <c r="I41" s="21"/>
      <c r="J41" s="21"/>
      <c r="K41" s="5"/>
      <c r="L41" s="21"/>
      <c r="M41" s="21"/>
      <c r="N41" s="21"/>
      <c r="O41" s="21"/>
    </row>
    <row r="42" spans="1:15" x14ac:dyDescent="0.3">
      <c r="A42" s="1" t="s">
        <v>51</v>
      </c>
      <c r="B42" s="26"/>
      <c r="C42" s="28" t="s">
        <v>12</v>
      </c>
      <c r="D42" s="6" t="s">
        <v>40</v>
      </c>
      <c r="E42" s="5"/>
      <c r="F42" s="5"/>
      <c r="G42" s="1" t="s">
        <v>117</v>
      </c>
      <c r="H42" s="26"/>
      <c r="I42" s="28" t="s">
        <v>12</v>
      </c>
      <c r="J42" s="6" t="s">
        <v>40</v>
      </c>
      <c r="K42" s="5"/>
      <c r="L42" s="1" t="s">
        <v>55</v>
      </c>
      <c r="M42" s="26"/>
      <c r="N42" s="105" t="s">
        <v>12</v>
      </c>
      <c r="O42" s="6" t="s">
        <v>40</v>
      </c>
    </row>
    <row r="43" spans="1:15" x14ac:dyDescent="0.3">
      <c r="A43" s="21">
        <f>'Steer Wrestling'!K21</f>
        <v>1</v>
      </c>
      <c r="B43" s="25" t="str">
        <f>'Steer Wrestling'!L21</f>
        <v>Otys Little Mustache - Brocket, AB</v>
      </c>
      <c r="C43" s="24">
        <f>'Steer Wrestling'!M21</f>
        <v>12.280000000000001</v>
      </c>
      <c r="D43" s="229">
        <f>'Steer Wrestling'!N21</f>
        <v>883.22400000000005</v>
      </c>
      <c r="E43" s="5"/>
      <c r="F43" s="5"/>
      <c r="G43" s="21">
        <f>'Tie Down Roping'!K21</f>
        <v>1</v>
      </c>
      <c r="H43" s="25" t="str">
        <f>'Tie Down Roping'!L21</f>
        <v>Nolan Conway - Cut Bank, MT</v>
      </c>
      <c r="I43" s="24">
        <f>'Tie Down Roping'!M21</f>
        <v>21.240000000000002</v>
      </c>
      <c r="J43" s="229">
        <f>'Tie Down Roping'!N21</f>
        <v>905.03200000000004</v>
      </c>
      <c r="K43" s="5"/>
      <c r="L43" s="21">
        <f>'Barrel Racing'!F21</f>
        <v>1</v>
      </c>
      <c r="M43" s="25" t="str">
        <f>'Barrel Racing'!G21</f>
        <v>Sonya Dodginghorse - Tsuu T'Ina Nation, AB</v>
      </c>
      <c r="N43" s="106">
        <f>'Barrel Racing'!H21</f>
        <v>16.163</v>
      </c>
      <c r="O43" s="229">
        <f>'Barrel Racing'!I21</f>
        <v>752</v>
      </c>
    </row>
    <row r="44" spans="1:15" x14ac:dyDescent="0.3">
      <c r="A44" s="21">
        <f>'Steer Wrestling'!K22</f>
        <v>2</v>
      </c>
      <c r="B44" s="25" t="str">
        <f>'Steer Wrestling'!L22</f>
        <v>Trevin Fox - Fort Hall</v>
      </c>
      <c r="C44" s="24">
        <f>'Steer Wrestling'!M22</f>
        <v>18.989999999999998</v>
      </c>
      <c r="D44" s="229">
        <f>'Steer Wrestling'!N22</f>
        <v>730.94400000000007</v>
      </c>
      <c r="E44" s="1"/>
      <c r="F44" s="5"/>
      <c r="G44" s="21">
        <f>'Tie Down Roping'!K22</f>
        <v>2</v>
      </c>
      <c r="H44" s="25" t="str">
        <f>'Tie Down Roping'!L22</f>
        <v>Dustin Bird - Cut Bank, MT</v>
      </c>
      <c r="I44" s="24">
        <f>'Tie Down Roping'!M22</f>
        <v>21.57</v>
      </c>
      <c r="J44" s="229">
        <f>'Tie Down Roping'!N22</f>
        <v>748.99199999999996</v>
      </c>
      <c r="K44" s="5"/>
      <c r="L44" s="21">
        <f>'Barrel Racing'!F22</f>
        <v>2</v>
      </c>
      <c r="M44" s="25" t="str">
        <f>'Barrel Racing'!G22</f>
        <v>Brittany Bird - Cut Bank, MT</v>
      </c>
      <c r="N44" s="106">
        <f>'Barrel Racing'!H22</f>
        <v>16.329999999999998</v>
      </c>
      <c r="O44" s="229">
        <f>'Barrel Racing'!I22</f>
        <v>564</v>
      </c>
    </row>
    <row r="45" spans="1:15" x14ac:dyDescent="0.3">
      <c r="A45" s="21">
        <f>'Steer Wrestling'!K23</f>
        <v>3</v>
      </c>
      <c r="B45" s="25" t="str">
        <f>'Steer Wrestling'!L23</f>
        <v>Shane Day Chief - Standoff, AB</v>
      </c>
      <c r="C45" s="24">
        <f>'Steer Wrestling'!M23</f>
        <v>19.939999999999998</v>
      </c>
      <c r="D45" s="229">
        <f>'Steer Wrestling'!N23</f>
        <v>578.6640000000001</v>
      </c>
      <c r="E45" s="5"/>
      <c r="F45" s="5"/>
      <c r="G45" s="21">
        <f>'Tie Down Roping'!K23</f>
        <v>3</v>
      </c>
      <c r="H45" s="25" t="str">
        <f>'Tie Down Roping'!L23</f>
        <v>Troy Crawler - Morley, AB</v>
      </c>
      <c r="I45" s="24">
        <f>'Tie Down Roping'!M23</f>
        <v>21.95</v>
      </c>
      <c r="J45" s="229">
        <f>'Tie Down Roping'!N23</f>
        <v>592.952</v>
      </c>
      <c r="K45" s="5"/>
      <c r="L45" s="21">
        <f>'Barrel Racing'!F23</f>
        <v>3</v>
      </c>
      <c r="M45" s="25" t="str">
        <f>'Barrel Racing'!G23</f>
        <v>Janae Devine - Cardston, AB</v>
      </c>
      <c r="N45" s="106">
        <f>'Barrel Racing'!H23</f>
        <v>16.510000000000002</v>
      </c>
      <c r="O45" s="229">
        <f>'Barrel Racing'!I23</f>
        <v>376</v>
      </c>
    </row>
    <row r="46" spans="1:15" x14ac:dyDescent="0.3">
      <c r="A46" s="21">
        <f>'Steer Wrestling'!K24</f>
        <v>4</v>
      </c>
      <c r="B46" s="25" t="str">
        <f>'Steer Wrestling'!L24</f>
        <v>Keenan Crane - Cardston, AB</v>
      </c>
      <c r="C46" s="24">
        <f>'Steer Wrestling'!M24</f>
        <v>25.03</v>
      </c>
      <c r="D46" s="229">
        <f>'Steer Wrestling'!N24</f>
        <v>426.38400000000007</v>
      </c>
      <c r="E46" s="5"/>
      <c r="F46" s="5"/>
      <c r="G46" s="21">
        <f>'Tie Down Roping'!K24</f>
        <v>4</v>
      </c>
      <c r="H46" s="25" t="str">
        <f>'Tie Down Roping'!L24</f>
        <v>Zane Not Afraid - Lodge Grass, MT</v>
      </c>
      <c r="I46" s="24">
        <f>'Tie Down Roping'!M24</f>
        <v>24.17</v>
      </c>
      <c r="J46" s="229">
        <f>'Tie Down Roping'!N24</f>
        <v>436.91200000000009</v>
      </c>
      <c r="K46" s="5"/>
      <c r="L46" s="21">
        <f>'Barrel Racing'!F24</f>
        <v>4</v>
      </c>
      <c r="M46" s="25" t="str">
        <f>'Barrel Racing'!G24</f>
        <v>Tristin Bull - Good Fish Lake, AB</v>
      </c>
      <c r="N46" s="106">
        <f>'Barrel Racing'!H24</f>
        <v>16.59</v>
      </c>
      <c r="O46" s="229">
        <f>'Barrel Racing'!I24</f>
        <v>188</v>
      </c>
    </row>
    <row r="47" spans="1:15" x14ac:dyDescent="0.3">
      <c r="A47" s="21">
        <f>'Steer Wrestling'!K25</f>
        <v>5</v>
      </c>
      <c r="B47" s="25" t="str">
        <f>'Steer Wrestling'!L25</f>
        <v>Kaden Conway - Wickenberg, AZ</v>
      </c>
      <c r="C47" s="24">
        <f>'Steer Wrestling'!M25</f>
        <v>25.05</v>
      </c>
      <c r="D47" s="229">
        <f>'Steer Wrestling'!N25</f>
        <v>274.10400000000004</v>
      </c>
      <c r="E47" s="5"/>
      <c r="F47" s="5"/>
      <c r="G47" s="21">
        <f>'Tie Down Roping'!K25</f>
        <v>5</v>
      </c>
      <c r="H47" s="25" t="str">
        <f>'Tie Down Roping'!L25</f>
        <v>Jay Crawler - Morley, AB</v>
      </c>
      <c r="I47" s="24">
        <f>'Tie Down Roping'!M25</f>
        <v>25.84</v>
      </c>
      <c r="J47" s="229">
        <f>'Tie Down Roping'!N25</f>
        <v>280.87200000000001</v>
      </c>
      <c r="K47" s="5"/>
      <c r="L47" s="21"/>
      <c r="M47" s="21"/>
      <c r="N47" s="21"/>
      <c r="O47" s="21"/>
    </row>
    <row r="48" spans="1:15" x14ac:dyDescent="0.3">
      <c r="A48" s="21">
        <f>'Steer Wrestling'!K26</f>
        <v>6</v>
      </c>
      <c r="B48" s="25" t="str">
        <f>'Steer Wrestling'!L26</f>
        <v>Arlan Minue - Warner, AB</v>
      </c>
      <c r="C48" s="24">
        <f>'Steer Wrestling'!M26</f>
        <v>5.24</v>
      </c>
      <c r="D48" s="229">
        <f>'Steer Wrestling'!N26</f>
        <v>152.28000000000003</v>
      </c>
      <c r="E48" s="5"/>
      <c r="F48" s="5"/>
      <c r="G48" s="21">
        <f>'Tie Down Roping'!K26</f>
        <v>6</v>
      </c>
      <c r="H48" s="25" t="str">
        <f>'Tie Down Roping'!L26</f>
        <v>Mike White Quills - Cardston, AB</v>
      </c>
      <c r="I48" s="24">
        <f>'Tie Down Roping'!M26</f>
        <v>27.48</v>
      </c>
      <c r="J48" s="229">
        <f>'Tie Down Roping'!N26</f>
        <v>156.04000000000002</v>
      </c>
      <c r="K48" s="5"/>
      <c r="L48" s="1" t="s">
        <v>56</v>
      </c>
      <c r="M48" s="26"/>
      <c r="N48" s="105" t="s">
        <v>12</v>
      </c>
      <c r="O48" s="6" t="s">
        <v>40</v>
      </c>
    </row>
    <row r="49" spans="1:15" x14ac:dyDescent="0.3">
      <c r="B49" s="21"/>
      <c r="C49" s="21"/>
      <c r="D49" s="21"/>
      <c r="E49" s="5"/>
      <c r="F49" s="5"/>
      <c r="H49" s="21"/>
      <c r="I49" s="21"/>
      <c r="J49" s="21"/>
      <c r="K49" s="5"/>
      <c r="L49" s="21">
        <f>'Barrel Racing'!K21</f>
        <v>1</v>
      </c>
      <c r="M49" s="25" t="str">
        <f>'Barrel Racing'!L21</f>
        <v>Sonya Dodginghorse - Tsuu T'Ina Nation, AB</v>
      </c>
      <c r="N49" s="106">
        <f>'Barrel Racing'!M21</f>
        <v>32.524000000000001</v>
      </c>
      <c r="O49" s="229">
        <f>'Barrel Racing'!N21</f>
        <v>1090.3999999999999</v>
      </c>
    </row>
    <row r="50" spans="1:15" x14ac:dyDescent="0.3">
      <c r="A50" s="1" t="s">
        <v>52</v>
      </c>
      <c r="B50" s="26"/>
      <c r="C50" s="28" t="s">
        <v>12</v>
      </c>
      <c r="D50" s="6" t="s">
        <v>40</v>
      </c>
      <c r="E50" s="5"/>
      <c r="F50" s="5"/>
      <c r="G50" s="107" t="s">
        <v>57</v>
      </c>
      <c r="H50" s="21"/>
      <c r="I50" s="28" t="s">
        <v>12</v>
      </c>
      <c r="J50" s="6" t="s">
        <v>40</v>
      </c>
      <c r="K50" s="5"/>
      <c r="L50" s="21">
        <f>'Barrel Racing'!K22</f>
        <v>2</v>
      </c>
      <c r="M50" s="25" t="str">
        <f>'Barrel Racing'!L22</f>
        <v>Brittany Bird - Cut Bank, MT</v>
      </c>
      <c r="N50" s="106">
        <f>'Barrel Racing'!M22</f>
        <v>33.072999999999993</v>
      </c>
      <c r="O50" s="229">
        <f>'Barrel Racing'!N22</f>
        <v>902.4</v>
      </c>
    </row>
    <row r="51" spans="1:15" x14ac:dyDescent="0.3">
      <c r="A51" s="5">
        <f>Breakaway!A21</f>
        <v>1</v>
      </c>
      <c r="B51" s="26" t="str">
        <f>Breakaway!B21</f>
        <v>Mykayla Tatsey - Valier, MT</v>
      </c>
      <c r="C51" s="27">
        <f>Breakaway!C21</f>
        <v>2.84</v>
      </c>
      <c r="D51" s="228">
        <f>Breakaway!D21</f>
        <v>1046.7840000000001</v>
      </c>
      <c r="F51" s="5"/>
      <c r="G51" s="108">
        <f>'TR Header'!A21</f>
        <v>1</v>
      </c>
      <c r="H51" s="132" t="str">
        <f>'TR Header'!B21</f>
        <v>Boyd Wesley &amp; Garrett Benjamin</v>
      </c>
      <c r="I51" s="24">
        <f>'TR Header'!C21</f>
        <v>6.14</v>
      </c>
      <c r="J51" s="229">
        <f>'TR Header'!D21</f>
        <v>1184.7760000000003</v>
      </c>
      <c r="K51" s="5"/>
      <c r="L51" s="21">
        <f>'Barrel Racing'!K23</f>
        <v>3</v>
      </c>
      <c r="M51" s="25" t="str">
        <f>'Barrel Racing'!L23</f>
        <v>Tristin Bull - Good Fish Lake, AB</v>
      </c>
      <c r="N51" s="106">
        <f>'Barrel Racing'!M23</f>
        <v>33.156999999999996</v>
      </c>
      <c r="O51" s="229">
        <f>'Barrel Racing'!N23</f>
        <v>714.4</v>
      </c>
    </row>
    <row r="52" spans="1:15" x14ac:dyDescent="0.3">
      <c r="A52" s="5">
        <f>Breakaway!A22</f>
        <v>2</v>
      </c>
      <c r="B52" s="26" t="str">
        <f>Breakaway!B22</f>
        <v>Leanne Johnson - Cut Bank, MT</v>
      </c>
      <c r="C52" s="27">
        <f>Breakaway!C22</f>
        <v>3</v>
      </c>
      <c r="D52" s="228">
        <f>Breakaway!D22</f>
        <v>866.30400000000009</v>
      </c>
      <c r="F52" s="5"/>
      <c r="G52" s="108">
        <f>'TR Header'!A22</f>
        <v>2</v>
      </c>
      <c r="H52" s="132" t="str">
        <f>'TR Header'!B22</f>
        <v>Nolan Conway &amp; Colten Lefthand</v>
      </c>
      <c r="I52" s="24">
        <f>'TR Header'!C22</f>
        <v>6.54</v>
      </c>
      <c r="J52" s="229">
        <f>'TR Header'!D22</f>
        <v>1030.2400000000002</v>
      </c>
      <c r="L52" s="21">
        <f>'Barrel Racing'!K24</f>
        <v>4</v>
      </c>
      <c r="M52" s="25" t="str">
        <f>'Barrel Racing'!L24</f>
        <v>Cheyenne Black Water - Cardston, AB</v>
      </c>
      <c r="N52" s="106">
        <f>'Barrel Racing'!M24</f>
        <v>33.201999999999998</v>
      </c>
      <c r="O52" s="229">
        <f>'Barrel Racing'!N24</f>
        <v>526.40000000000009</v>
      </c>
    </row>
    <row r="53" spans="1:15" x14ac:dyDescent="0.3">
      <c r="A53" s="5">
        <f>Breakaway!A23</f>
        <v>3</v>
      </c>
      <c r="B53" s="26" t="str">
        <f>Breakaway!B23</f>
        <v>Erin Jones - Chinle, AZ</v>
      </c>
      <c r="C53" s="27">
        <f>Breakaway!C23</f>
        <v>3.03</v>
      </c>
      <c r="D53" s="228">
        <f>Breakaway!D23</f>
        <v>685.82400000000007</v>
      </c>
      <c r="E53" s="5"/>
      <c r="F53" s="5"/>
      <c r="G53" s="108">
        <f>'TR Header'!A23</f>
        <v>3</v>
      </c>
      <c r="H53" s="132" t="str">
        <f>'TR Header'!B23</f>
        <v>Cameron Billy &amp; Colten Lefthand</v>
      </c>
      <c r="I53" s="24">
        <f>'TR Header'!C23</f>
        <v>6.72</v>
      </c>
      <c r="J53" s="229">
        <f>'TR Header'!D23</f>
        <v>875.70400000000018</v>
      </c>
      <c r="L53" s="21">
        <f>'Barrel Racing'!K25</f>
        <v>5</v>
      </c>
      <c r="M53" s="25" t="str">
        <f>'Barrel Racing'!L25</f>
        <v>Cayda Dodginghorse - Tsuut'Ina Nation, AB</v>
      </c>
      <c r="N53" s="106">
        <f>'Barrel Racing'!M25</f>
        <v>33.308999999999997</v>
      </c>
      <c r="O53" s="229">
        <f>'Barrel Racing'!N25</f>
        <v>338.4</v>
      </c>
    </row>
    <row r="54" spans="1:15" x14ac:dyDescent="0.3">
      <c r="A54" s="5">
        <f>Breakaway!A24</f>
        <v>4</v>
      </c>
      <c r="B54" s="26" t="str">
        <f>Breakaway!B24</f>
        <v>Colleen Crawler - Morley, AB</v>
      </c>
      <c r="C54" s="27">
        <f>Breakaway!C24</f>
        <v>3.15</v>
      </c>
      <c r="D54" s="228">
        <f>Breakaway!D24</f>
        <v>505.34400000000011</v>
      </c>
      <c r="E54" s="5"/>
      <c r="F54" s="5"/>
      <c r="G54" s="108">
        <f>'TR Header'!A24</f>
        <v>4</v>
      </c>
      <c r="H54" s="132" t="str">
        <f>'TR Header'!B24</f>
        <v>Casey Cummins &amp; Brandon Ben</v>
      </c>
      <c r="I54" s="24">
        <f>'TR Header'!C24</f>
        <v>6.79</v>
      </c>
      <c r="J54" s="229">
        <f>'TR Header'!D24</f>
        <v>721.16800000000012</v>
      </c>
      <c r="L54" s="21">
        <f>'Barrel Racing'!K26</f>
        <v>6</v>
      </c>
      <c r="M54" s="25" t="str">
        <f>'Barrel Racing'!L26</f>
        <v>Janae Devine - Cardston, AB</v>
      </c>
      <c r="N54" s="106">
        <f>'Barrel Racing'!M26</f>
        <v>33.417000000000002</v>
      </c>
      <c r="O54" s="229">
        <f>'Barrel Racing'!N26</f>
        <v>188</v>
      </c>
    </row>
    <row r="55" spans="1:15" x14ac:dyDescent="0.3">
      <c r="A55" s="5">
        <f>Breakaway!A25</f>
        <v>5</v>
      </c>
      <c r="B55" s="26" t="str">
        <f>Breakaway!B25</f>
        <v>Cammie Fox - Cardston, AB</v>
      </c>
      <c r="C55" s="27">
        <f>Breakaway!C25</f>
        <v>3.21</v>
      </c>
      <c r="D55" s="228">
        <f>Breakaway!D25</f>
        <v>324.86400000000003</v>
      </c>
      <c r="E55" s="5"/>
      <c r="F55" s="5"/>
      <c r="G55" s="108">
        <f>'TR Header'!A25</f>
        <v>5</v>
      </c>
      <c r="H55" s="132" t="str">
        <f>'TR Header'!B25</f>
        <v>Billy Potts &amp; Garrett Benjamin</v>
      </c>
      <c r="I55" s="24">
        <f>'TR Header'!C25</f>
        <v>6.91</v>
      </c>
      <c r="J55" s="229">
        <f>'TR Header'!D25</f>
        <v>566.63200000000006</v>
      </c>
      <c r="L55" s="21"/>
      <c r="M55" s="21"/>
      <c r="N55" s="21"/>
      <c r="O55" s="21"/>
    </row>
    <row r="56" spans="1:15" x14ac:dyDescent="0.3">
      <c r="A56" s="5">
        <f>Breakaway!A26</f>
        <v>6</v>
      </c>
      <c r="B56" s="26" t="str">
        <f>Breakaway!B26</f>
        <v>Callie Dixon - Morley, AB</v>
      </c>
      <c r="C56" s="27">
        <f>Breakaway!C26</f>
        <v>3.26</v>
      </c>
      <c r="D56" s="228">
        <f>Breakaway!D26</f>
        <v>180.48000000000002</v>
      </c>
      <c r="E56" s="5"/>
      <c r="F56" s="1"/>
      <c r="G56" s="108">
        <f>'TR Header'!A26</f>
        <v>6</v>
      </c>
      <c r="H56" s="132" t="str">
        <f>'TR Header'!B26</f>
        <v>Jackson Louis &amp; Casey Cummins</v>
      </c>
      <c r="I56" s="24">
        <f>'TR Header'!C26</f>
        <v>7.77</v>
      </c>
      <c r="J56" s="229">
        <f>'TR Header'!D26</f>
        <v>412.09600000000006</v>
      </c>
      <c r="L56" s="109" t="s">
        <v>118</v>
      </c>
      <c r="M56" s="26"/>
      <c r="N56" s="88" t="s">
        <v>38</v>
      </c>
      <c r="O56" s="6" t="s">
        <v>40</v>
      </c>
    </row>
    <row r="57" spans="1:15" x14ac:dyDescent="0.3">
      <c r="A57" s="5"/>
      <c r="B57" s="5"/>
      <c r="C57" s="5"/>
      <c r="D57" s="5"/>
      <c r="E57" s="5"/>
      <c r="F57" s="5"/>
      <c r="G57" s="108">
        <f>'TR Header'!A27</f>
        <v>7</v>
      </c>
      <c r="H57" s="132" t="str">
        <f>'TR Header'!B27</f>
        <v>Talan Cummins &amp; Clay Gunshows</v>
      </c>
      <c r="I57" s="24">
        <f>'TR Header'!C27</f>
        <v>8.0399999999999991</v>
      </c>
      <c r="J57" s="229">
        <f>'TR Header'!D27</f>
        <v>257.56000000000006</v>
      </c>
      <c r="L57" s="234">
        <f>'Bull Riding'!A21</f>
        <v>1</v>
      </c>
      <c r="M57" s="545" t="s">
        <v>231</v>
      </c>
      <c r="N57" s="492">
        <v>80</v>
      </c>
      <c r="O57" s="229">
        <v>654.24</v>
      </c>
    </row>
    <row r="58" spans="1:15" ht="24" x14ac:dyDescent="0.3">
      <c r="A58" s="1" t="s">
        <v>114</v>
      </c>
      <c r="B58" s="26"/>
      <c r="C58" s="28" t="s">
        <v>12</v>
      </c>
      <c r="D58" s="6" t="s">
        <v>40</v>
      </c>
      <c r="F58" s="5"/>
      <c r="G58" s="108">
        <f>'TR Header'!A28</f>
        <v>8</v>
      </c>
      <c r="H58" s="132" t="str">
        <f>'TR Header'!B28</f>
        <v>Wright Bruised Head &amp; Otys Little Mustache</v>
      </c>
      <c r="I58" s="24">
        <f>'TR Header'!C28</f>
        <v>8.26</v>
      </c>
      <c r="J58" s="229">
        <f>'TR Header'!D28</f>
        <v>103.02400000000002</v>
      </c>
      <c r="L58" s="234">
        <v>2</v>
      </c>
      <c r="M58" s="545" t="s">
        <v>232</v>
      </c>
      <c r="N58" s="493">
        <v>71</v>
      </c>
      <c r="O58" s="229">
        <v>541.43999999999994</v>
      </c>
    </row>
    <row r="59" spans="1:15" x14ac:dyDescent="0.3">
      <c r="A59" s="21">
        <f>Breakaway!F21</f>
        <v>1</v>
      </c>
      <c r="B59" s="25" t="str">
        <f>Breakaway!G21</f>
        <v>Cammie Fox - Cardston, AB</v>
      </c>
      <c r="C59" s="24">
        <f>Breakaway!H21</f>
        <v>2.78</v>
      </c>
      <c r="D59" s="229">
        <f>Breakaway!I21</f>
        <v>721.92000000000007</v>
      </c>
      <c r="F59" s="5"/>
      <c r="K59" s="5"/>
      <c r="L59" s="234">
        <v>3</v>
      </c>
      <c r="M59" s="545" t="s">
        <v>233</v>
      </c>
      <c r="N59" s="493">
        <v>62</v>
      </c>
      <c r="O59" s="229">
        <v>428.64</v>
      </c>
    </row>
    <row r="60" spans="1:15" x14ac:dyDescent="0.3">
      <c r="A60" s="21">
        <f>Breakaway!F22</f>
        <v>2</v>
      </c>
      <c r="B60" s="25" t="str">
        <f>Breakaway!G22</f>
        <v>Katelin Conway - Cut Bank, MT</v>
      </c>
      <c r="C60" s="24">
        <f>Breakaway!H22</f>
        <v>3.02</v>
      </c>
      <c r="D60" s="229">
        <f>Breakaway!I22</f>
        <v>541.44000000000005</v>
      </c>
      <c r="F60" s="5"/>
      <c r="G60" s="107" t="s">
        <v>58</v>
      </c>
      <c r="H60" s="21"/>
      <c r="I60" s="28" t="s">
        <v>12</v>
      </c>
      <c r="J60" s="6" t="s">
        <v>40</v>
      </c>
      <c r="K60" s="5"/>
      <c r="L60" s="234">
        <v>4</v>
      </c>
      <c r="M60" s="545" t="s">
        <v>234</v>
      </c>
      <c r="N60" s="493">
        <v>56</v>
      </c>
      <c r="O60" s="229">
        <v>315.84000000000003</v>
      </c>
    </row>
    <row r="61" spans="1:15" x14ac:dyDescent="0.3">
      <c r="A61" s="21">
        <f>Breakaway!F23</f>
        <v>3</v>
      </c>
      <c r="B61" s="25" t="str">
        <f>Breakaway!G23</f>
        <v>Mykayla Tatsey - Valier, MT</v>
      </c>
      <c r="C61" s="24">
        <f>Breakaway!H23</f>
        <v>4.79</v>
      </c>
      <c r="D61" s="229">
        <f>Breakaway!I23</f>
        <v>360.96000000000004</v>
      </c>
      <c r="F61" s="5"/>
      <c r="G61" s="108">
        <f>'TR Header'!F21</f>
        <v>1</v>
      </c>
      <c r="H61" s="132" t="str">
        <f>'TR Header'!G21</f>
        <v>Billy Potts &amp; Garrett Benjamin</v>
      </c>
      <c r="I61" s="24">
        <f>'TR Header'!H21</f>
        <v>6.84</v>
      </c>
      <c r="J61" s="229">
        <f>'TR Header'!I21</f>
        <v>746.92400000000009</v>
      </c>
      <c r="K61" s="5"/>
      <c r="L61" s="234"/>
      <c r="M61" s="494"/>
      <c r="N61" s="495"/>
      <c r="O61" s="229"/>
    </row>
    <row r="62" spans="1:15" x14ac:dyDescent="0.3">
      <c r="A62" s="21">
        <f>Breakaway!F24</f>
        <v>4</v>
      </c>
      <c r="B62" s="25" t="str">
        <f>Breakaway!G24</f>
        <v>Ground Split</v>
      </c>
      <c r="C62" s="24" t="str">
        <f>Breakaway!H24</f>
        <v>NT</v>
      </c>
      <c r="D62" s="229">
        <f>Breakaway!I24</f>
        <v>180.48000000000002</v>
      </c>
      <c r="F62" s="5"/>
      <c r="G62" s="108">
        <f>'TR Header'!F22</f>
        <v>2</v>
      </c>
      <c r="H62" s="132" t="str">
        <f>'TR Header'!G22</f>
        <v>Jackson Louis &amp; Casey Cummins</v>
      </c>
      <c r="I62" s="24">
        <f>'TR Header'!H22</f>
        <v>7.39</v>
      </c>
      <c r="J62" s="229">
        <f>'TR Header'!I22</f>
        <v>618.14400000000012</v>
      </c>
      <c r="K62" s="5"/>
      <c r="L62" s="234"/>
      <c r="M62" s="494"/>
      <c r="N62" s="495"/>
      <c r="O62" s="229"/>
    </row>
    <row r="63" spans="1:15" x14ac:dyDescent="0.3">
      <c r="C63" s="24"/>
      <c r="D63" s="229"/>
      <c r="F63" s="5"/>
      <c r="G63" s="108">
        <f>'TR Header'!F23</f>
        <v>3</v>
      </c>
      <c r="H63" s="132" t="str">
        <f>'TR Header'!G23</f>
        <v>Talan Cummins &amp; Clay Gunshows</v>
      </c>
      <c r="I63" s="24">
        <f>'TR Header'!H23</f>
        <v>8.74</v>
      </c>
      <c r="J63" s="229">
        <f>'TR Header'!I23</f>
        <v>489.36400000000009</v>
      </c>
      <c r="K63" s="5"/>
      <c r="L63" s="21"/>
      <c r="M63" s="496"/>
      <c r="N63" s="497"/>
    </row>
    <row r="64" spans="1:15" x14ac:dyDescent="0.3">
      <c r="C64" s="24"/>
      <c r="D64" s="229"/>
      <c r="F64" s="5"/>
      <c r="G64" s="108">
        <f>'TR Header'!F24</f>
        <v>4</v>
      </c>
      <c r="H64" s="132" t="str">
        <f>'TR Header'!G24</f>
        <v>Ty St Goddard &amp; Shawn Bird</v>
      </c>
      <c r="I64" s="24">
        <f>'TR Header'!H24</f>
        <v>10.84</v>
      </c>
      <c r="J64" s="229">
        <f>'TR Header'!I24</f>
        <v>360.58400000000006</v>
      </c>
      <c r="K64" s="5"/>
      <c r="L64" s="109" t="s">
        <v>119</v>
      </c>
      <c r="M64" s="498"/>
      <c r="N64" s="499" t="s">
        <v>38</v>
      </c>
      <c r="O64" s="6" t="s">
        <v>40</v>
      </c>
    </row>
    <row r="65" spans="1:15" x14ac:dyDescent="0.3">
      <c r="C65" s="24"/>
      <c r="F65" s="5"/>
      <c r="G65" s="108">
        <f>'TR Header'!F25</f>
        <v>5</v>
      </c>
      <c r="H65" s="132" t="str">
        <f>'TR Header'!G25</f>
        <v>Boyd Wesley &amp; Garrett Benjamin</v>
      </c>
      <c r="I65" s="24">
        <f>'TR Header'!H25</f>
        <v>11.56</v>
      </c>
      <c r="J65" s="229">
        <f>'TR Header'!I25</f>
        <v>231.80400000000003</v>
      </c>
      <c r="K65" s="5"/>
      <c r="L65" s="21">
        <f>'Bull Riding'!F21</f>
        <v>1</v>
      </c>
      <c r="M65" s="500" t="s">
        <v>231</v>
      </c>
      <c r="N65" s="492">
        <v>71</v>
      </c>
      <c r="O65" s="229">
        <v>451.20000000000005</v>
      </c>
    </row>
    <row r="66" spans="1:15" x14ac:dyDescent="0.3">
      <c r="A66" s="1" t="s">
        <v>53</v>
      </c>
      <c r="B66" s="26"/>
      <c r="C66" s="28" t="s">
        <v>12</v>
      </c>
      <c r="D66" s="6" t="s">
        <v>40</v>
      </c>
      <c r="F66" s="5"/>
      <c r="G66" s="108">
        <f>'TR Header'!F26</f>
        <v>6</v>
      </c>
      <c r="H66" s="132" t="str">
        <f>'TR Header'!G26</f>
        <v>Cameron Billy &amp; Colten Lefthand</v>
      </c>
      <c r="I66" s="24">
        <f>'TR Header'!H26</f>
        <v>11.62</v>
      </c>
      <c r="J66" s="229">
        <f>'TR Header'!I26</f>
        <v>128.78000000000003</v>
      </c>
      <c r="L66" s="21"/>
      <c r="M66" s="500" t="s">
        <v>232</v>
      </c>
      <c r="N66" s="492">
        <v>63</v>
      </c>
      <c r="O66" s="229">
        <v>338.4</v>
      </c>
    </row>
    <row r="67" spans="1:15" x14ac:dyDescent="0.3">
      <c r="A67" s="21">
        <f>Breakaway!K21</f>
        <v>1</v>
      </c>
      <c r="B67" s="25" t="s">
        <v>201</v>
      </c>
      <c r="C67" s="24">
        <v>5.99</v>
      </c>
      <c r="D67" s="229">
        <v>1046.7840000000001</v>
      </c>
      <c r="F67" s="5"/>
      <c r="L67" s="21"/>
      <c r="M67" s="501"/>
      <c r="N67" s="502"/>
      <c r="O67" s="229"/>
    </row>
    <row r="68" spans="1:15" x14ac:dyDescent="0.3">
      <c r="A68" s="21">
        <f>Breakaway!K22</f>
        <v>2</v>
      </c>
      <c r="B68" s="25" t="s">
        <v>202</v>
      </c>
      <c r="C68" s="24">
        <v>6.51</v>
      </c>
      <c r="D68" s="229">
        <v>866.30400000000009</v>
      </c>
      <c r="E68" s="5"/>
      <c r="F68" s="5"/>
      <c r="G68" s="107" t="s">
        <v>59</v>
      </c>
      <c r="H68" s="21"/>
      <c r="I68" s="28" t="s">
        <v>12</v>
      </c>
      <c r="J68" s="6" t="s">
        <v>40</v>
      </c>
      <c r="L68" s="21"/>
      <c r="M68" s="501"/>
      <c r="N68" s="502"/>
      <c r="O68" s="229"/>
    </row>
    <row r="69" spans="1:15" x14ac:dyDescent="0.3">
      <c r="A69" s="21">
        <f>Breakaway!K23</f>
        <v>3</v>
      </c>
      <c r="B69" s="25" t="s">
        <v>203</v>
      </c>
      <c r="C69" s="24">
        <v>7.63</v>
      </c>
      <c r="D69" s="229">
        <v>685.82400000000007</v>
      </c>
      <c r="F69" s="5"/>
      <c r="G69" s="108">
        <f>'TR Header'!K21</f>
        <v>1</v>
      </c>
      <c r="H69" s="132" t="str">
        <f>'TR Header'!L21</f>
        <v>Billy Potts &amp; Garrett Benjamin</v>
      </c>
      <c r="I69" s="24">
        <f>'TR Header'!M21</f>
        <v>13.75</v>
      </c>
      <c r="J69" s="229">
        <f>'TR Header'!N21</f>
        <v>1184.7760000000003</v>
      </c>
      <c r="L69" s="21"/>
      <c r="M69" s="496"/>
      <c r="N69" s="496"/>
      <c r="O69" s="21"/>
    </row>
    <row r="70" spans="1:15" x14ac:dyDescent="0.3">
      <c r="A70" s="21">
        <f>Breakaway!K24</f>
        <v>4</v>
      </c>
      <c r="B70" s="25" t="s">
        <v>206</v>
      </c>
      <c r="C70" s="24">
        <v>3</v>
      </c>
      <c r="D70" s="229">
        <v>505.34400000000011</v>
      </c>
      <c r="F70" s="5"/>
      <c r="G70" s="108">
        <f>'TR Header'!K22</f>
        <v>2</v>
      </c>
      <c r="H70" s="132" t="str">
        <f>'TR Header'!L22</f>
        <v>Jackson Louis &amp; Casey Cummins</v>
      </c>
      <c r="I70" s="24">
        <f>'TR Header'!M22</f>
        <v>15.16</v>
      </c>
      <c r="J70" s="229">
        <f>'TR Header'!N22</f>
        <v>1030.2400000000002</v>
      </c>
      <c r="L70" s="109" t="s">
        <v>120</v>
      </c>
      <c r="M70" s="498"/>
      <c r="N70" s="499" t="s">
        <v>38</v>
      </c>
      <c r="O70" s="6" t="s">
        <v>40</v>
      </c>
    </row>
    <row r="71" spans="1:15" x14ac:dyDescent="0.3">
      <c r="A71" s="21">
        <f>Breakaway!K25</f>
        <v>5</v>
      </c>
      <c r="B71" s="25" t="s">
        <v>207</v>
      </c>
      <c r="C71" s="24">
        <v>3.03</v>
      </c>
      <c r="D71" s="229">
        <v>324.86400000000003</v>
      </c>
      <c r="E71" s="5"/>
      <c r="F71" s="5"/>
      <c r="G71" s="108">
        <f>'TR Header'!K23</f>
        <v>3</v>
      </c>
      <c r="H71" s="132" t="str">
        <f>'TR Header'!L23</f>
        <v>Talan Cummins &amp; Clay Gunshows</v>
      </c>
      <c r="I71" s="24">
        <f>'TR Header'!M23</f>
        <v>16.78</v>
      </c>
      <c r="J71" s="229">
        <f>'TR Header'!N23</f>
        <v>875.70400000000018</v>
      </c>
      <c r="L71" s="21">
        <f>'Bull Riding'!K21</f>
        <v>1</v>
      </c>
      <c r="M71" s="491" t="s">
        <v>231</v>
      </c>
      <c r="N71" s="503">
        <v>151</v>
      </c>
      <c r="O71" s="229">
        <f>'Bull Riding'!N21</f>
        <v>654.24</v>
      </c>
    </row>
    <row r="72" spans="1:15" ht="24" x14ac:dyDescent="0.3">
      <c r="A72" s="21">
        <f>Breakaway!K26</f>
        <v>6</v>
      </c>
      <c r="B72" s="25" t="s">
        <v>208</v>
      </c>
      <c r="C72" s="24">
        <v>3.15</v>
      </c>
      <c r="D72" s="229">
        <v>180.48000000000002</v>
      </c>
      <c r="E72" s="5"/>
      <c r="F72" s="5"/>
      <c r="G72" s="108">
        <f>'TR Header'!K24</f>
        <v>4</v>
      </c>
      <c r="H72" s="132" t="str">
        <f>'TR Header'!L24</f>
        <v>Boyd Wesley &amp; Garrett Benjamin</v>
      </c>
      <c r="I72" s="24">
        <f>'TR Header'!M24</f>
        <v>17.7</v>
      </c>
      <c r="J72" s="229">
        <f>'TR Header'!N24</f>
        <v>721.16800000000012</v>
      </c>
      <c r="K72" s="5"/>
      <c r="L72" s="21">
        <v>2</v>
      </c>
      <c r="M72" s="491" t="s">
        <v>232</v>
      </c>
      <c r="N72" s="503">
        <v>134</v>
      </c>
      <c r="O72" s="229">
        <v>541.43999999999994</v>
      </c>
    </row>
    <row r="73" spans="1:15" x14ac:dyDescent="0.3">
      <c r="B73" s="21"/>
      <c r="C73" s="21"/>
      <c r="D73" s="21"/>
      <c r="G73" s="108">
        <f>'TR Header'!K25</f>
        <v>5</v>
      </c>
      <c r="H73" s="132" t="str">
        <f>'TR Header'!L25</f>
        <v>Cameron Billy &amp; Colten Lefthand</v>
      </c>
      <c r="I73" s="24">
        <f>'TR Header'!M25</f>
        <v>18.34</v>
      </c>
      <c r="J73" s="229">
        <f>'TR Header'!N25</f>
        <v>566.63200000000006</v>
      </c>
      <c r="L73" s="21">
        <v>3</v>
      </c>
      <c r="M73" s="491" t="s">
        <v>233</v>
      </c>
      <c r="N73" s="503">
        <v>62</v>
      </c>
      <c r="O73" s="229">
        <v>428.64</v>
      </c>
    </row>
    <row r="74" spans="1:15" x14ac:dyDescent="0.3">
      <c r="B74" s="21"/>
      <c r="C74" s="21"/>
      <c r="D74" s="21"/>
      <c r="G74" s="108">
        <f>'TR Header'!K26</f>
        <v>6</v>
      </c>
      <c r="H74" s="132" t="str">
        <f>'TR Header'!L26</f>
        <v>Casey Cummins &amp; Brandon Ben</v>
      </c>
      <c r="I74" s="24">
        <f>'TR Header'!M26</f>
        <v>19.02</v>
      </c>
      <c r="J74" s="229">
        <f>'TR Header'!N26</f>
        <v>412.09600000000006</v>
      </c>
      <c r="L74" s="21">
        <v>4</v>
      </c>
      <c r="M74" s="491" t="s">
        <v>234</v>
      </c>
      <c r="N74" s="503">
        <v>56</v>
      </c>
      <c r="O74" s="229">
        <v>315.84000000000003</v>
      </c>
    </row>
    <row r="75" spans="1:15" x14ac:dyDescent="0.3">
      <c r="G75" s="108">
        <f>'TR Header'!K27</f>
        <v>7</v>
      </c>
      <c r="H75" s="132" t="str">
        <f>'TR Header'!L27</f>
        <v>Ty St Goddard &amp; Shawn Bird</v>
      </c>
      <c r="I75" s="24">
        <f>'TR Header'!M27</f>
        <v>19.98</v>
      </c>
      <c r="J75" s="229">
        <f>'TR Header'!N27</f>
        <v>257.56000000000006</v>
      </c>
      <c r="L75" s="21"/>
      <c r="M75" s="501"/>
      <c r="N75" s="502"/>
      <c r="O75" s="229"/>
    </row>
    <row r="76" spans="1:15" x14ac:dyDescent="0.3">
      <c r="G76" s="108">
        <f>'TR Header'!K28</f>
        <v>8</v>
      </c>
      <c r="H76" s="132" t="str">
        <f>'TR Header'!L28</f>
        <v>Nolan Conway &amp; Colten Lefthand</v>
      </c>
      <c r="I76" s="24">
        <f>'TR Header'!M28</f>
        <v>6.54</v>
      </c>
      <c r="J76" s="229">
        <f>'TR Header'!N28</f>
        <v>103.02400000000002</v>
      </c>
      <c r="L76" s="21"/>
      <c r="M76" s="25"/>
      <c r="N76" s="22"/>
      <c r="O76" s="229"/>
    </row>
    <row r="77" spans="1:15" x14ac:dyDescent="0.3">
      <c r="B77" s="21"/>
    </row>
    <row r="79" spans="1:15" x14ac:dyDescent="0.3">
      <c r="A79" s="1" t="s">
        <v>121</v>
      </c>
      <c r="B79" s="26"/>
      <c r="C79" s="28" t="s">
        <v>12</v>
      </c>
      <c r="D79" s="6" t="s">
        <v>40</v>
      </c>
      <c r="G79" s="1" t="s">
        <v>124</v>
      </c>
      <c r="H79" s="26"/>
      <c r="I79" s="28" t="s">
        <v>12</v>
      </c>
      <c r="J79" s="6" t="s">
        <v>40</v>
      </c>
      <c r="L79" s="1" t="s">
        <v>127</v>
      </c>
      <c r="M79" s="26"/>
      <c r="N79" s="28" t="s">
        <v>12</v>
      </c>
      <c r="O79" s="6" t="s">
        <v>40</v>
      </c>
    </row>
    <row r="80" spans="1:15" x14ac:dyDescent="0.3">
      <c r="A80" s="21">
        <f>'Sr. Breakaway'!A21</f>
        <v>1</v>
      </c>
      <c r="B80" s="25" t="str">
        <f>'Sr. Breakaway'!B21</f>
        <v>Spider Ramone - Hays, MT</v>
      </c>
      <c r="C80" s="24">
        <f>'Sr. Breakaway'!C21</f>
        <v>2.2599999999999998</v>
      </c>
      <c r="D80" s="229">
        <f>'Sr. Breakaway'!D21</f>
        <v>556.48</v>
      </c>
      <c r="G80" s="21">
        <f>'Jr. Breakaway'!A21</f>
        <v>1</v>
      </c>
      <c r="H80" s="25" t="str">
        <f>'Jr. Breakaway'!B21</f>
        <v>Aarianna Henry - Box Elder, MT</v>
      </c>
      <c r="I80" s="24">
        <f>'Jr. Breakaway'!C21</f>
        <v>3.53</v>
      </c>
      <c r="J80" s="229">
        <f>'Jr. Breakaway'!D21</f>
        <v>263.2</v>
      </c>
      <c r="L80" s="21">
        <f>'Jr. Barrel Racing'!A21</f>
        <v>1</v>
      </c>
      <c r="M80" s="25" t="str">
        <f>'Jr. Barrel Racing'!B21</f>
        <v>Aarianna Henry - Box Elder, MT</v>
      </c>
      <c r="N80" s="106">
        <f>'Jr. Barrel Racing'!C21</f>
        <v>16.48</v>
      </c>
      <c r="O80" s="229">
        <f>'Jr. Barrel Racing'!D21</f>
        <v>278.24</v>
      </c>
    </row>
    <row r="81" spans="1:15" x14ac:dyDescent="0.3">
      <c r="A81" s="21">
        <f>'Sr. Breakaway'!A22</f>
        <v>2</v>
      </c>
      <c r="B81" s="25" t="str">
        <f>'Sr. Breakaway'!B22</f>
        <v>Ollie Benjamin - Morley, AB</v>
      </c>
      <c r="C81" s="24">
        <f>'Sr. Breakaway'!C22</f>
        <v>2.41</v>
      </c>
      <c r="D81" s="229">
        <f>'Sr. Breakaway'!D22</f>
        <v>417.36</v>
      </c>
      <c r="G81" s="21">
        <f>'Jr. Breakaway'!A22</f>
        <v>2</v>
      </c>
      <c r="H81" s="25" t="str">
        <f>'Jr. Breakaway'!B22</f>
        <v>Brooke Fox - Cardston, AB</v>
      </c>
      <c r="I81" s="24">
        <f>'Jr. Breakaway'!C22</f>
        <v>4.32</v>
      </c>
      <c r="J81" s="229">
        <f>'Jr. Breakaway'!D22</f>
        <v>197.4</v>
      </c>
      <c r="L81" s="21">
        <f>'Jr. Barrel Racing'!A22</f>
        <v>2</v>
      </c>
      <c r="M81" s="25" t="str">
        <f>'Jr. Barrel Racing'!B22</f>
        <v>Cayda Dodginghorse - Tsuut'Ina Nation, AB</v>
      </c>
      <c r="N81" s="106">
        <f>'Jr. Barrel Racing'!C22</f>
        <v>16.754999999999999</v>
      </c>
      <c r="O81" s="229">
        <f>'Jr. Barrel Racing'!D22</f>
        <v>208.68</v>
      </c>
    </row>
    <row r="82" spans="1:15" x14ac:dyDescent="0.3">
      <c r="A82" s="21">
        <f>'Sr. Breakaway'!A23</f>
        <v>3</v>
      </c>
      <c r="B82" s="25" t="str">
        <f>'Sr. Breakaway'!B23</f>
        <v>Ken Augare - Browning, MT</v>
      </c>
      <c r="C82" s="24">
        <f>'Sr. Breakaway'!C23</f>
        <v>2.59</v>
      </c>
      <c r="D82" s="229">
        <f>'Sr. Breakaway'!D23</f>
        <v>278.24</v>
      </c>
      <c r="G82" s="21">
        <f>'Jr. Breakaway'!A23</f>
        <v>3</v>
      </c>
      <c r="H82" s="25" t="str">
        <f>'Jr. Breakaway'!B23</f>
        <v>Addison Conway - Cut Bank, MT</v>
      </c>
      <c r="I82" s="24">
        <f>'Jr. Breakaway'!C23</f>
        <v>8.8000000000000007</v>
      </c>
      <c r="J82" s="229">
        <f>'Jr. Breakaway'!D23</f>
        <v>131.6</v>
      </c>
      <c r="L82" s="21">
        <f>'Jr. Barrel Racing'!A23</f>
        <v>3</v>
      </c>
      <c r="M82" s="25" t="str">
        <f>'Jr. Barrel Racing'!B23</f>
        <v>Rhegan Shade - Lethbridge, AB</v>
      </c>
      <c r="N82" s="106">
        <f>'Jr. Barrel Racing'!C23</f>
        <v>17.003</v>
      </c>
      <c r="O82" s="229">
        <f>'Jr. Barrel Racing'!D23</f>
        <v>139.12</v>
      </c>
    </row>
    <row r="83" spans="1:15" x14ac:dyDescent="0.3">
      <c r="A83" s="21">
        <f>'Sr. Breakaway'!A24</f>
        <v>4</v>
      </c>
      <c r="B83" s="25" t="str">
        <f>'Sr. Breakaway'!B24</f>
        <v>Darcy Dixon - Morley, AB</v>
      </c>
      <c r="C83" s="24">
        <f>'Sr. Breakaway'!C24</f>
        <v>2.81</v>
      </c>
      <c r="D83" s="229">
        <f>'Sr. Breakaway'!D24</f>
        <v>139.12</v>
      </c>
      <c r="G83" s="21">
        <f>'Jr. Breakaway'!A24</f>
        <v>4</v>
      </c>
      <c r="H83" s="25" t="str">
        <f>'Jr. Breakaway'!B24</f>
        <v>Memphis Dodginghorse - Calgary, AB</v>
      </c>
      <c r="I83" s="24">
        <f>'Jr. Breakaway'!C24</f>
        <v>10.48</v>
      </c>
      <c r="J83" s="229">
        <f>'Jr. Breakaway'!D24</f>
        <v>65.8</v>
      </c>
      <c r="L83" s="21">
        <f>'Jr. Barrel Racing'!A24</f>
        <v>4</v>
      </c>
      <c r="M83" s="25" t="str">
        <f>'Jr. Barrel Racing'!B24</f>
        <v>Brooke Fox - Cardston, AB</v>
      </c>
      <c r="N83" s="106">
        <f>'Jr. Barrel Racing'!C24</f>
        <v>17.167999999999999</v>
      </c>
      <c r="O83" s="229">
        <f>'Jr. Barrel Racing'!D24</f>
        <v>69.56</v>
      </c>
    </row>
    <row r="84" spans="1:15" x14ac:dyDescent="0.3">
      <c r="C84" s="24"/>
      <c r="D84" s="229"/>
      <c r="I84" s="24"/>
      <c r="J84" s="229"/>
      <c r="L84" s="21"/>
      <c r="M84" s="25"/>
      <c r="N84" s="24"/>
      <c r="O84" s="229"/>
    </row>
    <row r="85" spans="1:15" x14ac:dyDescent="0.3">
      <c r="C85" s="24"/>
      <c r="D85" s="229"/>
      <c r="G85" s="1" t="s">
        <v>125</v>
      </c>
      <c r="H85" s="26"/>
      <c r="I85" s="28" t="s">
        <v>12</v>
      </c>
      <c r="J85" s="6" t="s">
        <v>40</v>
      </c>
      <c r="L85" s="1" t="s">
        <v>128</v>
      </c>
      <c r="M85" s="26"/>
      <c r="N85" s="28" t="s">
        <v>12</v>
      </c>
      <c r="O85" s="6" t="s">
        <v>40</v>
      </c>
    </row>
    <row r="86" spans="1:15" x14ac:dyDescent="0.3">
      <c r="C86" s="229"/>
      <c r="G86" s="21">
        <f>'Jr. Breakaway'!F21</f>
        <v>1</v>
      </c>
      <c r="H86" s="25" t="str">
        <f>'Jr. Breakaway'!G21</f>
        <v>Martin Watson - Box Elder, MT</v>
      </c>
      <c r="I86" s="24">
        <f>'Jr. Breakaway'!H21</f>
        <v>3.31</v>
      </c>
      <c r="J86" s="229">
        <f>'Jr. Breakaway'!I21</f>
        <v>131.6</v>
      </c>
      <c r="L86" s="21">
        <f>'Jr. Barrel Racing'!F21</f>
        <v>1</v>
      </c>
      <c r="M86" s="25" t="str">
        <f>'Jr. Barrel Racing'!G21</f>
        <v>Cayda Dodginghorse - Tsuut'Ina Nation, AB</v>
      </c>
      <c r="N86" s="106">
        <f>'Jr. Barrel Racing'!H21</f>
        <v>16.425000000000001</v>
      </c>
      <c r="O86" s="229">
        <f>'Jr. Barrel Racing'!I21</f>
        <v>139.12</v>
      </c>
    </row>
    <row r="87" spans="1:15" x14ac:dyDescent="0.3">
      <c r="A87" s="1" t="s">
        <v>122</v>
      </c>
      <c r="B87" s="26"/>
      <c r="C87" s="28" t="s">
        <v>12</v>
      </c>
      <c r="D87" s="6" t="s">
        <v>40</v>
      </c>
      <c r="G87" s="21">
        <f>'Jr. Breakaway'!F22</f>
        <v>2</v>
      </c>
      <c r="H87" s="25" t="str">
        <f>'Jr. Breakaway'!G22</f>
        <v>Aarianna Henry - Box Elder, MT</v>
      </c>
      <c r="I87" s="24">
        <f>'Jr. Breakaway'!H22</f>
        <v>3.54</v>
      </c>
      <c r="J87" s="229">
        <f>'Jr. Breakaway'!I22</f>
        <v>98.7</v>
      </c>
      <c r="L87" s="21">
        <f>'Jr. Barrel Racing'!F22</f>
        <v>2</v>
      </c>
      <c r="M87" s="25" t="str">
        <f>'Jr. Barrel Racing'!G22</f>
        <v>Checotah Many Grey Horses - Cardston, AB</v>
      </c>
      <c r="N87" s="106">
        <f>'Jr. Barrel Racing'!H22</f>
        <v>16.681000000000001</v>
      </c>
      <c r="O87" s="229">
        <f>'Jr. Barrel Racing'!I22</f>
        <v>104.34</v>
      </c>
    </row>
    <row r="88" spans="1:15" x14ac:dyDescent="0.3">
      <c r="A88" s="21">
        <f>'Sr. Breakaway'!F21</f>
        <v>1</v>
      </c>
      <c r="B88" s="25" t="str">
        <f>'Sr. Breakaway'!G21</f>
        <v>Darcy Dixon - Morley, AB</v>
      </c>
      <c r="C88" s="24">
        <f>'Sr. Breakaway'!H21</f>
        <v>2.4300000000000002</v>
      </c>
      <c r="D88" s="229">
        <f>'Sr. Breakaway'!I21</f>
        <v>278.24</v>
      </c>
      <c r="G88" s="21">
        <f>'Jr. Breakaway'!F23</f>
        <v>3</v>
      </c>
      <c r="I88" s="24"/>
      <c r="J88" s="229"/>
      <c r="L88" s="21">
        <f>'Jr. Barrel Racing'!F23</f>
        <v>3</v>
      </c>
      <c r="M88" s="25" t="str">
        <f>'Jr. Barrel Racing'!G23</f>
        <v>Rhegan Shade - Lethbridge, AB</v>
      </c>
      <c r="N88" s="106">
        <f>'Jr. Barrel Racing'!H23</f>
        <v>16.762</v>
      </c>
      <c r="O88" s="229">
        <f>'Jr. Barrel Racing'!I23</f>
        <v>69.56</v>
      </c>
    </row>
    <row r="89" spans="1:15" x14ac:dyDescent="0.3">
      <c r="A89" s="21">
        <f>'Sr. Breakaway'!F22</f>
        <v>2</v>
      </c>
      <c r="B89" s="25" t="str">
        <f>'Sr. Breakaway'!G22</f>
        <v>Alfred Armajo Jr - Lodge Grass, MT</v>
      </c>
      <c r="C89" s="24">
        <f>'Sr. Breakaway'!H22</f>
        <v>3.77</v>
      </c>
      <c r="D89" s="229">
        <f>'Sr. Breakaway'!I22</f>
        <v>208.68</v>
      </c>
      <c r="G89" s="21">
        <f>'Jr. Breakaway'!F24</f>
        <v>4</v>
      </c>
      <c r="I89" s="24"/>
      <c r="J89" s="229"/>
      <c r="L89" s="21">
        <f>'Jr. Barrel Racing'!F24</f>
        <v>4</v>
      </c>
      <c r="M89" s="25" t="str">
        <f>'Jr. Barrel Racing'!G24</f>
        <v>Brooke Fox - Cardston, AB</v>
      </c>
      <c r="N89" s="106">
        <f>'Jr. Barrel Racing'!H24</f>
        <v>16.939</v>
      </c>
      <c r="O89" s="229">
        <f>'Jr. Barrel Racing'!I24</f>
        <v>34.78</v>
      </c>
    </row>
    <row r="90" spans="1:15" x14ac:dyDescent="0.3">
      <c r="A90" s="21">
        <f>'Sr. Breakaway'!F23</f>
        <v>3</v>
      </c>
      <c r="B90" s="25" t="str">
        <f>'Sr. Breakaway'!G23</f>
        <v>Ken Augare - Browning, MT</v>
      </c>
      <c r="C90" s="24">
        <f>'Sr. Breakaway'!H23</f>
        <v>4.26</v>
      </c>
      <c r="D90" s="229">
        <f>'Sr. Breakaway'!I23</f>
        <v>139.12</v>
      </c>
      <c r="L90" s="21"/>
      <c r="M90" s="25"/>
      <c r="N90" s="22"/>
    </row>
    <row r="91" spans="1:15" x14ac:dyDescent="0.3">
      <c r="A91" s="21">
        <f>'Sr. Breakaway'!F24</f>
        <v>4</v>
      </c>
      <c r="B91" s="25">
        <f>'Sr. Breakaway'!G24</f>
        <v>0</v>
      </c>
      <c r="C91" s="24">
        <f>'Sr. Breakaway'!H24</f>
        <v>0</v>
      </c>
      <c r="D91" s="229">
        <f>'Sr. Breakaway'!I24</f>
        <v>69.56</v>
      </c>
      <c r="G91" s="1" t="s">
        <v>126</v>
      </c>
      <c r="H91" s="26"/>
      <c r="I91" s="28" t="s">
        <v>12</v>
      </c>
      <c r="J91" s="6" t="s">
        <v>40</v>
      </c>
      <c r="L91" s="1" t="s">
        <v>129</v>
      </c>
      <c r="M91" s="26"/>
      <c r="N91" s="28" t="s">
        <v>12</v>
      </c>
      <c r="O91" s="6" t="s">
        <v>40</v>
      </c>
    </row>
    <row r="92" spans="1:15" x14ac:dyDescent="0.3">
      <c r="B92" s="21"/>
      <c r="C92" s="21"/>
      <c r="D92" s="21"/>
      <c r="G92" s="21">
        <f>'Jr. Breakaway'!K21</f>
        <v>1</v>
      </c>
      <c r="H92" s="25" t="s">
        <v>237</v>
      </c>
      <c r="I92" s="24">
        <v>7.07</v>
      </c>
      <c r="J92" s="229">
        <f>'Jr. Breakaway'!N21</f>
        <v>263.2</v>
      </c>
      <c r="L92" s="21">
        <f>'Jr. Barrel Racing'!K21</f>
        <v>1</v>
      </c>
      <c r="M92" s="25" t="str">
        <f>'Jr. Barrel Racing'!L21</f>
        <v>Cayda Dodginghorse - Tsuut'Ina Nation, AB</v>
      </c>
      <c r="N92" s="106">
        <f>'Jr. Barrel Racing'!M21</f>
        <v>33.18</v>
      </c>
      <c r="O92" s="229">
        <f>'Jr. Barrel Racing'!N21</f>
        <v>278.24</v>
      </c>
    </row>
    <row r="93" spans="1:15" x14ac:dyDescent="0.3">
      <c r="A93" s="1" t="s">
        <v>123</v>
      </c>
      <c r="B93" s="26"/>
      <c r="C93" s="28" t="s">
        <v>12</v>
      </c>
      <c r="D93" s="6" t="s">
        <v>40</v>
      </c>
      <c r="G93" s="21">
        <f>'Jr. Breakaway'!K22</f>
        <v>2</v>
      </c>
      <c r="H93" s="25" t="s">
        <v>238</v>
      </c>
      <c r="I93" s="24">
        <v>4.32</v>
      </c>
      <c r="J93" s="229">
        <f>'Jr. Breakaway'!N22</f>
        <v>197.4</v>
      </c>
      <c r="L93" s="21">
        <f>'Jr. Barrel Racing'!K22</f>
        <v>2</v>
      </c>
      <c r="M93" s="25" t="str">
        <f>'Jr. Barrel Racing'!L22</f>
        <v>Rhegan Shade - Lethbridge, AB</v>
      </c>
      <c r="N93" s="106">
        <f>'Jr. Barrel Racing'!M22</f>
        <v>33.765000000000001</v>
      </c>
      <c r="O93" s="229">
        <f>'Jr. Barrel Racing'!N22</f>
        <v>208.68</v>
      </c>
    </row>
    <row r="94" spans="1:15" x14ac:dyDescent="0.3">
      <c r="A94" s="21">
        <f>'Sr. Breakaway'!K21</f>
        <v>1</v>
      </c>
      <c r="B94" s="25" t="str">
        <f>'Sr. Breakaway'!L21</f>
        <v>Darcy Dixon - Morley, AB</v>
      </c>
      <c r="C94" s="24">
        <f>'Sr. Breakaway'!M21</f>
        <v>5.24</v>
      </c>
      <c r="D94" s="229">
        <f>'Sr. Breakaway'!N21</f>
        <v>556.48</v>
      </c>
      <c r="G94" s="21">
        <f>'Jr. Breakaway'!K23</f>
        <v>3</v>
      </c>
      <c r="H94" s="25" t="s">
        <v>239</v>
      </c>
      <c r="I94" s="24">
        <v>8.8000000000000007</v>
      </c>
      <c r="J94" s="229">
        <f>'Jr. Breakaway'!N23</f>
        <v>131.6</v>
      </c>
      <c r="L94" s="21">
        <f>'Jr. Barrel Racing'!K23</f>
        <v>3</v>
      </c>
      <c r="M94" s="25" t="str">
        <f>'Jr. Barrel Racing'!L23</f>
        <v>Checotah Many Grey Horses - Cardston, AB</v>
      </c>
      <c r="N94" s="106">
        <f>'Jr. Barrel Racing'!M23</f>
        <v>33.874000000000002</v>
      </c>
      <c r="O94" s="229">
        <f>'Jr. Barrel Racing'!N23</f>
        <v>139.12</v>
      </c>
    </row>
    <row r="95" spans="1:15" x14ac:dyDescent="0.3">
      <c r="A95" s="21">
        <f>'Sr. Breakaway'!K22</f>
        <v>2</v>
      </c>
      <c r="B95" s="25" t="str">
        <f>'Sr. Breakaway'!L22</f>
        <v>Alfred Armajo Jr - Lodge Grass, MT</v>
      </c>
      <c r="C95" s="24">
        <f>'Sr. Breakaway'!M22</f>
        <v>6.77</v>
      </c>
      <c r="D95" s="229">
        <f>'Sr. Breakaway'!N22</f>
        <v>417.36</v>
      </c>
      <c r="G95" s="21">
        <f>'Jr. Breakaway'!K24</f>
        <v>4</v>
      </c>
      <c r="H95" s="25" t="s">
        <v>240</v>
      </c>
      <c r="I95" s="24">
        <v>10.48</v>
      </c>
      <c r="J95" s="229">
        <f>'Jr. Breakaway'!N24</f>
        <v>65.8</v>
      </c>
      <c r="L95" s="21">
        <f>'Jr. Barrel Racing'!K24</f>
        <v>4</v>
      </c>
      <c r="M95" s="25" t="str">
        <f>'Jr. Barrel Racing'!L24</f>
        <v>Brooke Fox - Cardston, AB</v>
      </c>
      <c r="N95" s="106">
        <f>'Jr. Barrel Racing'!M24</f>
        <v>34.106999999999999</v>
      </c>
      <c r="O95" s="229">
        <f>'Jr. Barrel Racing'!N24</f>
        <v>69.56</v>
      </c>
    </row>
    <row r="96" spans="1:15" x14ac:dyDescent="0.3">
      <c r="A96" s="21">
        <f>'Sr. Breakaway'!K23</f>
        <v>3</v>
      </c>
      <c r="B96" s="25" t="str">
        <f>'Sr. Breakaway'!L23</f>
        <v>Ken Augare - Browning, MT</v>
      </c>
      <c r="C96" s="24">
        <f>'Sr. Breakaway'!M23</f>
        <v>6.85</v>
      </c>
      <c r="D96" s="229">
        <f>'Sr. Breakaway'!N23</f>
        <v>278.24</v>
      </c>
    </row>
    <row r="97" spans="1:15" x14ac:dyDescent="0.3">
      <c r="A97" s="21">
        <f>'Sr. Breakaway'!K24</f>
        <v>4</v>
      </c>
      <c r="B97" s="25" t="str">
        <f>'Sr. Breakaway'!L24</f>
        <v>Spider Ramone - Hays, MT</v>
      </c>
      <c r="C97" s="24">
        <f>'Sr. Breakaway'!M24</f>
        <v>2.2599999999999998</v>
      </c>
      <c r="D97" s="229">
        <f>'Sr. Breakaway'!N24</f>
        <v>139.12</v>
      </c>
      <c r="H97" s="21"/>
      <c r="I97" s="21"/>
      <c r="J97" s="21"/>
    </row>
    <row r="98" spans="1:15" x14ac:dyDescent="0.3">
      <c r="C98" s="24"/>
      <c r="D98" s="229"/>
      <c r="I98" s="24"/>
      <c r="J98" s="229"/>
      <c r="L98" s="1" t="s">
        <v>136</v>
      </c>
      <c r="M98" s="26"/>
      <c r="N98" s="28" t="s">
        <v>38</v>
      </c>
      <c r="O98" s="6" t="s">
        <v>40</v>
      </c>
    </row>
    <row r="99" spans="1:15" x14ac:dyDescent="0.3">
      <c r="C99" s="24"/>
      <c r="D99" s="229"/>
      <c r="I99" s="24"/>
      <c r="J99" s="229"/>
      <c r="L99" s="21">
        <f>'Jr. Bull Riding'!A21</f>
        <v>1</v>
      </c>
      <c r="M99" s="25" t="str">
        <f>'Jr. Bull Riding'!B21</f>
        <v>Tahj Wells - Browning, MT</v>
      </c>
      <c r="N99" s="22">
        <f>'Jr. Bull Riding'!C21</f>
        <v>75</v>
      </c>
      <c r="O99" s="229">
        <f>'Jr. Bull Riding'!D21</f>
        <v>259.39999999999998</v>
      </c>
    </row>
    <row r="100" spans="1:15" x14ac:dyDescent="0.3">
      <c r="B100" s="21"/>
      <c r="D100" s="22"/>
      <c r="I100" s="24"/>
      <c r="L100" s="21" t="s">
        <v>217</v>
      </c>
      <c r="M100" s="25" t="s">
        <v>259</v>
      </c>
      <c r="N100" s="22"/>
      <c r="O100" s="229">
        <v>86.48</v>
      </c>
    </row>
    <row r="101" spans="1:15" x14ac:dyDescent="0.3">
      <c r="A101" s="23" t="s">
        <v>130</v>
      </c>
      <c r="C101" s="28" t="s">
        <v>12</v>
      </c>
      <c r="D101" s="6" t="s">
        <v>40</v>
      </c>
      <c r="G101" s="23" t="s">
        <v>133</v>
      </c>
      <c r="I101" s="28" t="s">
        <v>12</v>
      </c>
      <c r="J101" s="6" t="s">
        <v>40</v>
      </c>
      <c r="L101" s="21"/>
      <c r="M101" s="25"/>
      <c r="N101" s="22"/>
      <c r="O101" s="229"/>
    </row>
    <row r="102" spans="1:15" x14ac:dyDescent="0.3">
      <c r="A102" s="21">
        <f>'Sr. TR Header'!A21</f>
        <v>1</v>
      </c>
      <c r="B102" s="25" t="str">
        <f>'Sr. TR Header'!B21</f>
        <v>Sam Bird &amp; Alfred Armajo Jr</v>
      </c>
      <c r="C102" s="24">
        <f>'Sr. TR Header'!C21</f>
        <v>8.02</v>
      </c>
      <c r="D102" s="229">
        <f>'Sr. TR Header'!D21</f>
        <v>635.44000000000005</v>
      </c>
      <c r="G102" s="21">
        <f>'Sr. TR Heeler'!A21</f>
        <v>1</v>
      </c>
      <c r="H102" s="25" t="str">
        <f>'Sr. TR Heeler'!B21</f>
        <v>Sam Bird &amp; Alfred Armajo Jr</v>
      </c>
      <c r="I102" s="24">
        <f>'Sr. TR Heeler'!C21</f>
        <v>8.02</v>
      </c>
      <c r="J102" s="229">
        <f>'Sr. TR Heeler'!D21</f>
        <v>635.44000000000005</v>
      </c>
      <c r="L102" s="21"/>
      <c r="M102" s="25"/>
      <c r="N102" s="22"/>
      <c r="O102" s="229"/>
    </row>
    <row r="103" spans="1:15" x14ac:dyDescent="0.3">
      <c r="A103" s="21">
        <f>'Sr. TR Header'!A22</f>
        <v>2</v>
      </c>
      <c r="B103" s="25" t="str">
        <f>'Sr. TR Header'!B22</f>
        <v>David Shade &amp; Slim Creighton</v>
      </c>
      <c r="C103" s="24">
        <f>'Sr. TR Header'!C22</f>
        <v>8.06</v>
      </c>
      <c r="D103" s="229">
        <f>'Sr. TR Header'!D22</f>
        <v>476.58000000000004</v>
      </c>
      <c r="G103" s="21">
        <f>'Sr. TR Heeler'!A22</f>
        <v>2</v>
      </c>
      <c r="H103" s="25" t="str">
        <f>'Sr. TR Heeler'!B22</f>
        <v>David Shade &amp; Slim Creighton</v>
      </c>
      <c r="I103" s="24">
        <f>'Sr. TR Heeler'!C22</f>
        <v>8.06</v>
      </c>
      <c r="J103" s="229">
        <f>'Sr. TR Heeler'!D22</f>
        <v>476.58000000000004</v>
      </c>
      <c r="L103" s="21"/>
      <c r="M103" s="25"/>
      <c r="N103" s="24"/>
      <c r="O103" s="229"/>
    </row>
    <row r="104" spans="1:15" x14ac:dyDescent="0.3">
      <c r="A104" s="21">
        <f>'Sr. TR Header'!A23</f>
        <v>3</v>
      </c>
      <c r="B104" s="25" t="str">
        <f>'Sr. TR Header'!B23</f>
        <v>Hardee Skunkcap &amp; Terry Tatsey</v>
      </c>
      <c r="C104" s="24">
        <f>'Sr. TR Header'!C23</f>
        <v>8.4499999999999993</v>
      </c>
      <c r="D104" s="229">
        <f>'Sr. TR Header'!D23</f>
        <v>317.72000000000003</v>
      </c>
      <c r="G104" s="21">
        <f>'Sr. TR Heeler'!A23</f>
        <v>3</v>
      </c>
      <c r="H104" s="25" t="str">
        <f>'Sr. TR Heeler'!B23</f>
        <v>Hardee Skunkcap &amp; Terry Tatsey</v>
      </c>
      <c r="I104" s="24">
        <f>'Sr. TR Heeler'!C23</f>
        <v>8.4499999999999993</v>
      </c>
      <c r="J104" s="229">
        <f>'Sr. TR Heeler'!D23</f>
        <v>317.72000000000003</v>
      </c>
      <c r="L104" s="1" t="s">
        <v>137</v>
      </c>
      <c r="M104" s="26"/>
      <c r="N104" s="28" t="s">
        <v>38</v>
      </c>
      <c r="O104" s="6" t="s">
        <v>40</v>
      </c>
    </row>
    <row r="105" spans="1:15" x14ac:dyDescent="0.3">
      <c r="A105" s="21">
        <f>'Sr. TR Header'!A24</f>
        <v>4</v>
      </c>
      <c r="B105" s="25" t="str">
        <f>'Sr. TR Header'!B24</f>
        <v>Leonard Williams Sr. &amp; Dexter Donald</v>
      </c>
      <c r="C105" s="24">
        <f>'Sr. TR Header'!C24</f>
        <v>8.86</v>
      </c>
      <c r="D105" s="229">
        <f>'Sr. TR Header'!D24</f>
        <v>158.86000000000001</v>
      </c>
      <c r="G105" s="21">
        <f>'Sr. TR Heeler'!A24</f>
        <v>4</v>
      </c>
      <c r="H105" s="25" t="str">
        <f>'Sr. TR Heeler'!B24</f>
        <v>Leonard Williams Sr. &amp; Dexter Donald</v>
      </c>
      <c r="I105" s="24">
        <f>'Sr. TR Heeler'!C24</f>
        <v>8.86</v>
      </c>
      <c r="J105" s="229">
        <f>'Sr. TR Heeler'!D24</f>
        <v>158.86000000000001</v>
      </c>
      <c r="L105" s="21">
        <f>'Jr. Bull Riding'!F21</f>
        <v>1</v>
      </c>
      <c r="M105" s="25" t="str">
        <f>'Jr. Bull Riding'!G21</f>
        <v>No Rides</v>
      </c>
      <c r="N105" s="22">
        <f>'Jr. Bull Riding'!H21</f>
        <v>0</v>
      </c>
      <c r="O105" s="229" t="s">
        <v>217</v>
      </c>
    </row>
    <row r="106" spans="1:15" x14ac:dyDescent="0.3">
      <c r="B106" s="21"/>
      <c r="D106" s="22"/>
      <c r="H106" s="21"/>
      <c r="J106" s="22"/>
      <c r="L106" s="21" t="s">
        <v>217</v>
      </c>
      <c r="M106" s="25"/>
      <c r="N106" s="22"/>
      <c r="O106" s="229"/>
    </row>
    <row r="107" spans="1:15" x14ac:dyDescent="0.3">
      <c r="A107" s="23" t="s">
        <v>131</v>
      </c>
      <c r="C107" s="28" t="s">
        <v>12</v>
      </c>
      <c r="D107" s="6" t="s">
        <v>40</v>
      </c>
      <c r="G107" s="23" t="s">
        <v>134</v>
      </c>
      <c r="I107" s="28" t="s">
        <v>12</v>
      </c>
      <c r="J107" s="6" t="s">
        <v>40</v>
      </c>
      <c r="L107" s="21"/>
      <c r="M107" s="25"/>
      <c r="N107" s="22"/>
      <c r="O107" s="229"/>
    </row>
    <row r="108" spans="1:15" x14ac:dyDescent="0.3">
      <c r="A108" s="21">
        <f>'Sr. TR Header'!F21</f>
        <v>1</v>
      </c>
      <c r="B108" s="25" t="str">
        <f>'Sr. TR Header'!G21</f>
        <v>Sam Bird &amp; Alfred Armajo Jr</v>
      </c>
      <c r="C108" s="24">
        <f>'Sr. TR Header'!H21</f>
        <v>10.6</v>
      </c>
      <c r="D108" s="229">
        <f>'Sr. TR Header'!I21</f>
        <v>317.72000000000003</v>
      </c>
      <c r="G108" s="21">
        <f>'Sr. TR Heeler'!F21</f>
        <v>1</v>
      </c>
      <c r="H108" s="25" t="str">
        <f>'Sr. TR Heeler'!G21</f>
        <v>Sam Bird &amp; Alfred Armajo Jr</v>
      </c>
      <c r="I108" s="24">
        <f>'Sr. TR Heeler'!H21</f>
        <v>10.6</v>
      </c>
      <c r="J108" s="229">
        <f>'Sr. TR Heeler'!I21</f>
        <v>317.72000000000003</v>
      </c>
      <c r="L108" s="21"/>
      <c r="M108" s="25"/>
      <c r="N108" s="22"/>
      <c r="O108" s="229"/>
    </row>
    <row r="109" spans="1:15" x14ac:dyDescent="0.3">
      <c r="A109" s="21">
        <f>'Sr. TR Header'!F22</f>
        <v>2</v>
      </c>
      <c r="B109" s="25" t="str">
        <f>'Sr. TR Header'!G22</f>
        <v>Emmet Crowchild &amp; Dexter Donald</v>
      </c>
      <c r="C109" s="24">
        <f>'Sr. TR Header'!H22</f>
        <v>10.68</v>
      </c>
      <c r="D109" s="229">
        <f>'Sr. TR Header'!I22</f>
        <v>238.29000000000002</v>
      </c>
      <c r="G109" s="21">
        <f>'Sr. TR Heeler'!F22</f>
        <v>2</v>
      </c>
      <c r="H109" s="25" t="str">
        <f>'Sr. TR Heeler'!G22</f>
        <v>Emmet Crowchild &amp; Dexter Donald</v>
      </c>
      <c r="I109" s="24">
        <f>'Sr. TR Heeler'!H22</f>
        <v>10.68</v>
      </c>
      <c r="J109" s="229">
        <f>'Sr. TR Heeler'!I22</f>
        <v>238.29000000000002</v>
      </c>
      <c r="L109" s="21"/>
      <c r="M109" s="25"/>
      <c r="N109" s="22"/>
    </row>
    <row r="110" spans="1:15" x14ac:dyDescent="0.3">
      <c r="C110" s="24"/>
      <c r="D110" s="229"/>
      <c r="I110" s="24"/>
      <c r="J110" s="229"/>
      <c r="L110" s="1" t="s">
        <v>138</v>
      </c>
      <c r="M110" s="26"/>
      <c r="N110" s="28" t="s">
        <v>38</v>
      </c>
      <c r="O110" s="6" t="s">
        <v>40</v>
      </c>
    </row>
    <row r="111" spans="1:15" x14ac:dyDescent="0.3">
      <c r="C111" s="24"/>
      <c r="D111" s="229"/>
      <c r="I111" s="24"/>
      <c r="J111" s="229"/>
      <c r="L111" s="21">
        <f>'Jr. Bull Riding'!K21</f>
        <v>1</v>
      </c>
      <c r="M111" s="25" t="str">
        <f>'Jr. Bull Riding'!L21</f>
        <v>Tahj Wells - Browning, MT</v>
      </c>
      <c r="N111" s="22">
        <f>'Jr. Bull Riding'!M21</f>
        <v>75</v>
      </c>
      <c r="O111" s="229">
        <f>'Jr. Bull Riding'!N21</f>
        <v>259.44</v>
      </c>
    </row>
    <row r="112" spans="1:15" x14ac:dyDescent="0.3">
      <c r="B112" s="21"/>
      <c r="C112" s="21"/>
      <c r="D112" s="21"/>
      <c r="H112" s="21"/>
      <c r="I112" s="21"/>
      <c r="J112" s="21"/>
      <c r="L112" s="21" t="s">
        <v>217</v>
      </c>
      <c r="M112" s="25" t="s">
        <v>259</v>
      </c>
      <c r="N112" s="22"/>
      <c r="O112" s="229">
        <v>86.48</v>
      </c>
    </row>
    <row r="113" spans="1:15" x14ac:dyDescent="0.3">
      <c r="A113" s="23" t="s">
        <v>132</v>
      </c>
      <c r="C113" s="28" t="s">
        <v>12</v>
      </c>
      <c r="D113" s="6" t="s">
        <v>40</v>
      </c>
      <c r="G113" s="23" t="s">
        <v>135</v>
      </c>
      <c r="I113" s="28" t="s">
        <v>12</v>
      </c>
      <c r="J113" s="6" t="s">
        <v>40</v>
      </c>
      <c r="L113" s="21"/>
      <c r="M113" s="25"/>
      <c r="N113" s="22"/>
      <c r="O113" s="229"/>
    </row>
    <row r="114" spans="1:15" x14ac:dyDescent="0.3">
      <c r="A114" s="21">
        <f>'Sr. TR Header'!K21</f>
        <v>1</v>
      </c>
      <c r="B114" s="25" t="str">
        <f>'Sr. TR Header'!L21</f>
        <v>Sam Bird &amp; Alfred Armajo Jr</v>
      </c>
      <c r="C114" s="24">
        <f>'Sr. TR Header'!M21</f>
        <v>18.619999999999997</v>
      </c>
      <c r="D114" s="229">
        <f>'Sr. TR Header'!N21</f>
        <v>635.44000000000005</v>
      </c>
      <c r="G114" s="21">
        <f>'Sr. TR Heeler'!K21</f>
        <v>1</v>
      </c>
      <c r="H114" s="25" t="str">
        <f>'Sr. TR Heeler'!L21</f>
        <v>Sam Bird &amp; Alfred Armajo Jr</v>
      </c>
      <c r="I114" s="24">
        <f>'Sr. TR Heeler'!M21</f>
        <v>18.619999999999997</v>
      </c>
      <c r="J114" s="229">
        <f>'Sr. TR Heeler'!N21</f>
        <v>10.6</v>
      </c>
      <c r="L114" s="21"/>
      <c r="M114" s="25"/>
      <c r="N114" s="22"/>
      <c r="O114" s="229"/>
    </row>
    <row r="115" spans="1:15" x14ac:dyDescent="0.3">
      <c r="A115" s="21">
        <f>'Sr. TR Header'!K22</f>
        <v>2</v>
      </c>
      <c r="B115" s="25" t="str">
        <f>'Sr. TR Header'!L22</f>
        <v>Emmet Crowchild &amp; Dexter Donald</v>
      </c>
      <c r="C115" s="24">
        <f>'Sr. TR Header'!M22</f>
        <v>18.740000000000002</v>
      </c>
      <c r="D115" s="229">
        <f>'Sr. TR Header'!N22</f>
        <v>476.58000000000004</v>
      </c>
      <c r="G115" s="21">
        <f>'Sr. TR Heeler'!K22</f>
        <v>2</v>
      </c>
      <c r="H115" s="25" t="str">
        <f>'Sr. TR Heeler'!L22</f>
        <v>Emmet Crowchild &amp; Dexter Donald</v>
      </c>
      <c r="I115" s="24">
        <f>'Sr. TR Heeler'!M22</f>
        <v>18.740000000000002</v>
      </c>
      <c r="J115" s="229">
        <f>'Sr. TR Heeler'!N22</f>
        <v>10.68</v>
      </c>
      <c r="L115" s="21"/>
      <c r="M115" s="25"/>
      <c r="N115" s="22"/>
    </row>
    <row r="116" spans="1:15" x14ac:dyDescent="0.3">
      <c r="A116" s="21">
        <f>'Sr. TR Header'!K23</f>
        <v>3</v>
      </c>
      <c r="B116" s="25" t="str">
        <f>'Sr. TR Header'!L23</f>
        <v>David Shade &amp; Slim Creighton</v>
      </c>
      <c r="C116" s="24">
        <f>'Sr. TR Header'!M23</f>
        <v>8.4499999999999993</v>
      </c>
      <c r="D116" s="229">
        <f>'Sr. TR Header'!N23</f>
        <v>317.72000000000003</v>
      </c>
      <c r="G116" s="21">
        <f>'Sr. TR Heeler'!K23</f>
        <v>3</v>
      </c>
      <c r="H116" s="25" t="str">
        <f>'Sr. TR Heeler'!L23</f>
        <v>David Shade &amp; Slim Creighton</v>
      </c>
      <c r="I116" s="24">
        <f>'Sr. TR Heeler'!M23</f>
        <v>8.4499999999999993</v>
      </c>
      <c r="J116" s="229" t="str">
        <f>'Sr. TR Heeler'!N23</f>
        <v>NT</v>
      </c>
    </row>
    <row r="117" spans="1:15" x14ac:dyDescent="0.3">
      <c r="A117" s="21">
        <f>'Sr. TR Header'!K24</f>
        <v>4</v>
      </c>
      <c r="B117" s="25" t="str">
        <f>'Sr. TR Header'!L24</f>
        <v>Hardee Skunkcap &amp; Terry Tatsey</v>
      </c>
      <c r="C117" s="24">
        <f>'Sr. TR Header'!M24</f>
        <v>8.86</v>
      </c>
      <c r="D117" s="229">
        <f>'Sr. TR Header'!N24</f>
        <v>158.86000000000001</v>
      </c>
      <c r="G117" s="21">
        <f>'Sr. TR Heeler'!K24</f>
        <v>4</v>
      </c>
      <c r="H117" s="25" t="str">
        <f>'Sr. TR Heeler'!L24</f>
        <v>Hardee Skunkcap &amp; Terry Tatsey</v>
      </c>
      <c r="I117" s="24">
        <f>'Sr. TR Heeler'!M24</f>
        <v>8.86</v>
      </c>
      <c r="J117" s="229" t="str">
        <f>'Sr. TR Heeler'!N24</f>
        <v>NT</v>
      </c>
    </row>
    <row r="118" spans="1:15" x14ac:dyDescent="0.3">
      <c r="B118" s="21"/>
      <c r="C118" s="21"/>
      <c r="D118" s="21"/>
    </row>
  </sheetData>
  <mergeCells count="2">
    <mergeCell ref="A2:O2"/>
    <mergeCell ref="A3:O3"/>
  </mergeCells>
  <printOptions horizontalCentered="1"/>
  <pageMargins left="0.25" right="0.25" top="1.1907327586206899" bottom="0" header="0.5" footer="0.5"/>
  <pageSetup scale="56" orientation="portrait" r:id="rId1"/>
  <headerFooter>
    <oddHeader xml:space="preserve">&amp;L&amp;G&amp;C&amp;"Arial Narrow,Bold"&amp;18 2022 Tsuut'ina INFR Tour Qualifier
Results
</oddHeader>
  </headerFooter>
  <rowBreaks count="1" manualBreakCount="1">
    <brk id="77" max="14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4"/>
  <sheetViews>
    <sheetView view="pageLayout" zoomScaleNormal="100" zoomScaleSheetLayoutView="90" workbookViewId="0">
      <selection activeCell="F8" sqref="F8"/>
    </sheetView>
  </sheetViews>
  <sheetFormatPr defaultColWidth="9.140625" defaultRowHeight="18" x14ac:dyDescent="0.25"/>
  <cols>
    <col min="1" max="1" width="15.28515625" style="428" customWidth="1"/>
    <col min="2" max="2" width="13.28515625" style="428" customWidth="1"/>
    <col min="3" max="3" width="16.85546875" style="428" customWidth="1"/>
    <col min="4" max="4" width="15.42578125" style="428" customWidth="1"/>
    <col min="5" max="5" width="13.28515625" style="428" customWidth="1"/>
    <col min="6" max="7" width="13.7109375" style="428" customWidth="1"/>
    <col min="8" max="8" width="10.5703125" style="429" customWidth="1"/>
    <col min="9" max="16384" width="9.140625" style="428"/>
  </cols>
  <sheetData>
    <row r="1" spans="1:8" x14ac:dyDescent="0.25">
      <c r="A1" s="540" t="s">
        <v>41</v>
      </c>
      <c r="B1" s="540"/>
      <c r="C1" s="540"/>
      <c r="D1" s="540"/>
      <c r="E1" s="540"/>
      <c r="F1" s="540"/>
      <c r="G1" s="540"/>
      <c r="H1" s="446"/>
    </row>
    <row r="2" spans="1:8" ht="31.5" x14ac:dyDescent="0.25">
      <c r="B2" s="445" t="s">
        <v>21</v>
      </c>
      <c r="C2" s="445" t="s">
        <v>174</v>
      </c>
      <c r="D2" s="444" t="s">
        <v>173</v>
      </c>
      <c r="E2" s="443" t="s">
        <v>41</v>
      </c>
    </row>
    <row r="3" spans="1:8" x14ac:dyDescent="0.25">
      <c r="B3" s="432" t="s">
        <v>172</v>
      </c>
      <c r="C3" s="440">
        <f>Bareback!C5</f>
        <v>6</v>
      </c>
      <c r="D3" s="431">
        <f>Bareback!E10</f>
        <v>5600</v>
      </c>
      <c r="E3" s="431">
        <f>Bareback!E12</f>
        <v>336</v>
      </c>
      <c r="F3" s="469"/>
      <c r="H3" s="439"/>
    </row>
    <row r="4" spans="1:8" x14ac:dyDescent="0.25">
      <c r="B4" s="432" t="s">
        <v>171</v>
      </c>
      <c r="C4" s="440">
        <f>'Saddle Bronc'!C5</f>
        <v>8</v>
      </c>
      <c r="D4" s="431">
        <f>'Saddle Bronc'!E10</f>
        <v>5800</v>
      </c>
      <c r="E4" s="431">
        <f>'Saddle Bronc'!E12:F12</f>
        <v>348</v>
      </c>
      <c r="F4" s="432"/>
      <c r="H4" s="439"/>
    </row>
    <row r="5" spans="1:8" x14ac:dyDescent="0.25">
      <c r="B5" s="432" t="s">
        <v>170</v>
      </c>
      <c r="C5" s="440">
        <f>'Bull Riding'!C5</f>
        <v>10</v>
      </c>
      <c r="D5" s="431">
        <f>'Bull Riding'!E10</f>
        <v>6000</v>
      </c>
      <c r="E5" s="431">
        <f>'Bull Riding'!E12:F12</f>
        <v>360</v>
      </c>
      <c r="F5" s="432"/>
      <c r="H5" s="439"/>
    </row>
    <row r="6" spans="1:8" x14ac:dyDescent="0.25">
      <c r="B6" s="432" t="s">
        <v>169</v>
      </c>
      <c r="C6" s="440">
        <f>'Steer Wrestling'!C5</f>
        <v>31</v>
      </c>
      <c r="D6" s="431">
        <f>'Steer Wrestling'!E10</f>
        <v>8100</v>
      </c>
      <c r="E6" s="431">
        <f>'Steer Wrestling'!E12:F12</f>
        <v>486</v>
      </c>
      <c r="F6" s="432"/>
      <c r="H6" s="439"/>
    </row>
    <row r="7" spans="1:8" x14ac:dyDescent="0.25">
      <c r="B7" s="432" t="s">
        <v>168</v>
      </c>
      <c r="C7" s="440">
        <f>'Tie Down Roping'!C5</f>
        <v>33</v>
      </c>
      <c r="D7" s="431">
        <f>'Tie Down Roping'!E10</f>
        <v>8300</v>
      </c>
      <c r="E7" s="431">
        <f>'Tie Down Roping'!E12:F12</f>
        <v>498</v>
      </c>
      <c r="F7" s="432"/>
      <c r="H7" s="439"/>
    </row>
    <row r="8" spans="1:8" x14ac:dyDescent="0.25">
      <c r="B8" s="432" t="s">
        <v>167</v>
      </c>
      <c r="C8" s="440">
        <f>Breakaway!C5</f>
        <v>46</v>
      </c>
      <c r="D8" s="431">
        <f>Breakaway!E10</f>
        <v>9600</v>
      </c>
      <c r="E8" s="431">
        <f>Breakaway!E12</f>
        <v>576</v>
      </c>
      <c r="F8" s="432"/>
      <c r="H8" s="439"/>
    </row>
    <row r="9" spans="1:8" x14ac:dyDescent="0.25">
      <c r="B9" s="432" t="s">
        <v>166</v>
      </c>
      <c r="C9" s="440">
        <f>'Barrel Racing'!C5</f>
        <v>50</v>
      </c>
      <c r="D9" s="431">
        <f>'Barrel Racing'!E10</f>
        <v>10000</v>
      </c>
      <c r="E9" s="431">
        <f>'Barrel Racing'!E12:F12</f>
        <v>600</v>
      </c>
      <c r="F9" s="432"/>
      <c r="H9" s="439"/>
    </row>
    <row r="10" spans="1:8" x14ac:dyDescent="0.25">
      <c r="B10" s="432" t="s">
        <v>165</v>
      </c>
      <c r="C10" s="440">
        <f>'TR Header'!C5</f>
        <v>87</v>
      </c>
      <c r="D10" s="431">
        <f>'TR Header'!E10</f>
        <v>13700</v>
      </c>
      <c r="E10" s="431">
        <f>'TR Header'!E12:F12</f>
        <v>822</v>
      </c>
      <c r="F10" s="432"/>
      <c r="H10" s="439"/>
    </row>
    <row r="11" spans="1:8" x14ac:dyDescent="0.25">
      <c r="B11" s="432" t="s">
        <v>164</v>
      </c>
      <c r="C11" s="440">
        <f>'TR Heeler'!C5</f>
        <v>87</v>
      </c>
      <c r="D11" s="431">
        <f>'TR Heeler'!E10</f>
        <v>13700</v>
      </c>
      <c r="E11" s="431">
        <f>'TR Heeler'!E12:F12</f>
        <v>822</v>
      </c>
      <c r="F11" s="432"/>
      <c r="H11" s="439"/>
    </row>
    <row r="12" spans="1:8" x14ac:dyDescent="0.25">
      <c r="B12" s="432" t="s">
        <v>163</v>
      </c>
      <c r="C12" s="440">
        <f>'Jr. Breakaway'!C5</f>
        <v>15</v>
      </c>
      <c r="D12" s="431">
        <f>'Jr. Breakaway'!E10</f>
        <v>1750</v>
      </c>
      <c r="E12" s="431">
        <f>'Jr. Breakaway'!E12:F12</f>
        <v>105</v>
      </c>
      <c r="F12" s="432"/>
      <c r="H12" s="439"/>
    </row>
    <row r="13" spans="1:8" x14ac:dyDescent="0.25">
      <c r="B13" s="432" t="s">
        <v>162</v>
      </c>
      <c r="C13" s="440">
        <f>'Jr. Barrel Racing'!C5</f>
        <v>17</v>
      </c>
      <c r="D13" s="431">
        <f>'Jr. Barrel Racing'!E10</f>
        <v>1850</v>
      </c>
      <c r="E13" s="431">
        <f>'Jr. Barrel Racing'!E12:F12</f>
        <v>111</v>
      </c>
      <c r="F13" s="432"/>
      <c r="H13" s="439"/>
    </row>
    <row r="14" spans="1:8" x14ac:dyDescent="0.25">
      <c r="B14" s="432" t="s">
        <v>161</v>
      </c>
      <c r="C14" s="440">
        <f>'Jr. Bull Riding'!C5</f>
        <v>3</v>
      </c>
      <c r="D14" s="431">
        <f>'Jr. Bull Riding'!E10</f>
        <v>1150</v>
      </c>
      <c r="E14" s="431">
        <f>'Jr. Bull Riding'!E12:F12</f>
        <v>69</v>
      </c>
      <c r="F14" s="432"/>
      <c r="H14" s="439"/>
    </row>
    <row r="15" spans="1:8" x14ac:dyDescent="0.25">
      <c r="B15" s="432" t="s">
        <v>160</v>
      </c>
      <c r="C15" s="440">
        <f>'Sr. Breakaway'!C5</f>
        <v>36</v>
      </c>
      <c r="D15" s="431">
        <f>'Sr. Breakaway'!E10</f>
        <v>3700</v>
      </c>
      <c r="E15" s="431">
        <f>'Sr. Breakaway'!E12:F12</f>
        <v>222</v>
      </c>
      <c r="F15" s="432"/>
      <c r="H15" s="439"/>
    </row>
    <row r="16" spans="1:8" x14ac:dyDescent="0.25">
      <c r="B16" s="432" t="s">
        <v>159</v>
      </c>
      <c r="C16" s="440">
        <f>'Sr. TR Header'!C5</f>
        <v>43</v>
      </c>
      <c r="D16" s="431">
        <f>'Sr. TR Header'!E10</f>
        <v>4225</v>
      </c>
      <c r="E16" s="431">
        <f>'Sr. TR Header'!E12:F12</f>
        <v>253.5</v>
      </c>
      <c r="F16" s="432"/>
      <c r="H16" s="439"/>
    </row>
    <row r="17" spans="1:8" x14ac:dyDescent="0.25">
      <c r="B17" s="432" t="s">
        <v>158</v>
      </c>
      <c r="C17" s="440">
        <f>'Sr. TR Heeler'!C5</f>
        <v>43</v>
      </c>
      <c r="D17" s="431">
        <f>'Sr. TR Heeler'!E10</f>
        <v>4225</v>
      </c>
      <c r="E17" s="442">
        <f>'Sr. TR Heeler'!E12:F12</f>
        <v>253.5</v>
      </c>
      <c r="F17" s="432"/>
      <c r="H17" s="441"/>
    </row>
    <row r="18" spans="1:8" x14ac:dyDescent="0.25">
      <c r="A18" s="432"/>
      <c r="B18" s="432"/>
      <c r="C18" s="440"/>
      <c r="E18" s="431">
        <f>SUM(E3:E17)</f>
        <v>5862</v>
      </c>
      <c r="F18" s="432" t="s">
        <v>157</v>
      </c>
      <c r="H18" s="439"/>
    </row>
    <row r="20" spans="1:8" hidden="1" x14ac:dyDescent="0.25">
      <c r="A20" s="540" t="s">
        <v>156</v>
      </c>
      <c r="B20" s="540"/>
      <c r="C20" s="540"/>
      <c r="D20" s="540"/>
      <c r="E20" s="540"/>
      <c r="F20" s="540"/>
      <c r="G20" s="540"/>
    </row>
    <row r="21" spans="1:8" hidden="1" x14ac:dyDescent="0.25">
      <c r="A21" s="541" t="s">
        <v>155</v>
      </c>
      <c r="B21" s="541"/>
      <c r="C21" s="431">
        <v>20</v>
      </c>
      <c r="D21" s="431">
        <f>391*20</f>
        <v>7820</v>
      </c>
    </row>
    <row r="22" spans="1:8" hidden="1" x14ac:dyDescent="0.25">
      <c r="A22" s="432"/>
      <c r="B22" s="432"/>
      <c r="C22" s="432"/>
      <c r="D22" s="438">
        <v>-1500</v>
      </c>
      <c r="E22" s="436" t="s">
        <v>154</v>
      </c>
      <c r="F22" s="436"/>
    </row>
    <row r="23" spans="1:8" hidden="1" x14ac:dyDescent="0.25">
      <c r="A23" s="432"/>
      <c r="B23" s="432"/>
      <c r="C23" s="432"/>
      <c r="D23" s="438">
        <v>-1500</v>
      </c>
      <c r="E23" s="436" t="s">
        <v>153</v>
      </c>
      <c r="F23" s="436"/>
    </row>
    <row r="24" spans="1:8" hidden="1" x14ac:dyDescent="0.25">
      <c r="A24" s="432"/>
      <c r="B24" s="432"/>
      <c r="C24" s="432"/>
      <c r="D24" s="438">
        <v>-1564</v>
      </c>
      <c r="E24" s="436" t="s">
        <v>152</v>
      </c>
      <c r="F24" s="436"/>
    </row>
    <row r="25" spans="1:8" hidden="1" x14ac:dyDescent="0.25">
      <c r="A25" s="432"/>
      <c r="B25" s="432"/>
      <c r="C25" s="432"/>
      <c r="D25" s="438">
        <f>391*6</f>
        <v>2346</v>
      </c>
      <c r="E25" s="436" t="s">
        <v>151</v>
      </c>
      <c r="F25" s="436"/>
    </row>
    <row r="26" spans="1:8" hidden="1" x14ac:dyDescent="0.25">
      <c r="D26" s="437">
        <f>D21+D22+D23+D24+D25</f>
        <v>5602</v>
      </c>
      <c r="E26" s="436" t="s">
        <v>150</v>
      </c>
      <c r="F26" s="436"/>
    </row>
    <row r="27" spans="1:8" hidden="1" x14ac:dyDescent="0.25">
      <c r="E27" s="436" t="s">
        <v>149</v>
      </c>
    </row>
    <row r="28" spans="1:8" hidden="1" x14ac:dyDescent="0.25"/>
    <row r="29" spans="1:8" hidden="1" x14ac:dyDescent="0.25">
      <c r="A29" s="432"/>
      <c r="B29" s="432"/>
      <c r="C29" s="435" t="s">
        <v>37</v>
      </c>
      <c r="D29" s="431">
        <f>E18</f>
        <v>5862</v>
      </c>
      <c r="E29" s="432" t="s">
        <v>148</v>
      </c>
    </row>
    <row r="30" spans="1:8" x14ac:dyDescent="0.25">
      <c r="A30" s="432"/>
      <c r="B30" s="432"/>
      <c r="C30" s="432"/>
      <c r="D30" s="432"/>
    </row>
    <row r="31" spans="1:8" x14ac:dyDescent="0.25">
      <c r="A31" s="432"/>
      <c r="B31" s="538" t="s">
        <v>181</v>
      </c>
      <c r="C31" s="538"/>
      <c r="D31" s="434">
        <f>E18/3</f>
        <v>1954</v>
      </c>
      <c r="E31" s="433"/>
      <c r="F31" s="539"/>
      <c r="G31" s="539"/>
    </row>
    <row r="32" spans="1:8" x14ac:dyDescent="0.25">
      <c r="A32" s="432"/>
      <c r="B32" s="538" t="s">
        <v>147</v>
      </c>
      <c r="C32" s="538"/>
      <c r="D32" s="434">
        <f>E18/3</f>
        <v>1954</v>
      </c>
      <c r="E32" s="430"/>
      <c r="F32" s="430"/>
      <c r="G32" s="430"/>
    </row>
    <row r="33" spans="1:7" x14ac:dyDescent="0.25">
      <c r="A33" s="432"/>
      <c r="B33" s="538" t="s">
        <v>146</v>
      </c>
      <c r="C33" s="538"/>
      <c r="D33" s="434">
        <f>E18/3</f>
        <v>1954</v>
      </c>
      <c r="E33" s="433"/>
      <c r="F33" s="539"/>
      <c r="G33" s="539"/>
    </row>
    <row r="34" spans="1:7" x14ac:dyDescent="0.25">
      <c r="B34" s="432"/>
      <c r="C34" s="432"/>
      <c r="D34" s="431">
        <f>SUM(D31:D33)</f>
        <v>5862</v>
      </c>
      <c r="E34" s="430"/>
      <c r="F34" s="430"/>
      <c r="G34" s="430"/>
    </row>
  </sheetData>
  <mergeCells count="8">
    <mergeCell ref="B33:C33"/>
    <mergeCell ref="F33:G33"/>
    <mergeCell ref="A1:G1"/>
    <mergeCell ref="A20:G20"/>
    <mergeCell ref="A21:B21"/>
    <mergeCell ref="B31:C31"/>
    <mergeCell ref="F31:G31"/>
    <mergeCell ref="B32:C32"/>
  </mergeCells>
  <pageMargins left="0.5" right="0.5" top="1.25" bottom="0" header="0.3" footer="0.3"/>
  <pageSetup scale="96" orientation="portrait" r:id="rId1"/>
  <headerFooter>
    <oddHeader xml:space="preserve">&amp;L&amp;G&amp;C&amp;"Arial,Bold"&amp;14 2022 Tsuut'ina INFR Qualifier&amp;R
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9"/>
  <sheetViews>
    <sheetView view="pageBreakPreview" zoomScale="136" zoomScaleNormal="100" zoomScaleSheetLayoutView="136" workbookViewId="0">
      <selection sqref="A1:F1"/>
    </sheetView>
  </sheetViews>
  <sheetFormatPr defaultColWidth="9.140625" defaultRowHeight="12.75" x14ac:dyDescent="0.2"/>
  <cols>
    <col min="1" max="1" width="15.7109375" style="447" customWidth="1"/>
    <col min="2" max="2" width="13.140625" style="450" customWidth="1"/>
    <col min="3" max="3" width="7.85546875" style="449" bestFit="1" customWidth="1"/>
    <col min="4" max="4" width="12.85546875" style="449" bestFit="1" customWidth="1"/>
    <col min="5" max="5" width="6.140625" style="447" customWidth="1"/>
    <col min="6" max="6" width="6.28515625" style="447" customWidth="1"/>
    <col min="7" max="7" width="9.140625" style="448"/>
    <col min="8" max="16384" width="9.140625" style="447"/>
  </cols>
  <sheetData>
    <row r="1" spans="1:6" ht="15.75" x14ac:dyDescent="0.25">
      <c r="A1" s="542" t="s">
        <v>186</v>
      </c>
      <c r="B1" s="542"/>
      <c r="C1" s="542"/>
      <c r="D1" s="542"/>
      <c r="E1" s="542"/>
      <c r="F1" s="542"/>
    </row>
    <row r="2" spans="1:6" ht="15.75" x14ac:dyDescent="0.25">
      <c r="A2" s="543" t="s">
        <v>179</v>
      </c>
      <c r="B2" s="543"/>
      <c r="C2" s="543"/>
      <c r="D2" s="543"/>
      <c r="E2" s="543"/>
      <c r="F2" s="543"/>
    </row>
    <row r="3" spans="1:6" ht="15.75" x14ac:dyDescent="0.25">
      <c r="A3" s="542"/>
      <c r="B3" s="542"/>
      <c r="C3" s="542"/>
      <c r="D3" s="542"/>
      <c r="E3" s="542"/>
    </row>
    <row r="4" spans="1:6" ht="15" x14ac:dyDescent="0.2">
      <c r="A4" s="432"/>
      <c r="B4" s="440"/>
      <c r="C4" s="431"/>
      <c r="D4" s="431"/>
    </row>
    <row r="5" spans="1:6" ht="15.75" x14ac:dyDescent="0.25">
      <c r="A5" s="542" t="s">
        <v>178</v>
      </c>
      <c r="B5" s="542"/>
      <c r="C5" s="542"/>
      <c r="D5" s="542"/>
      <c r="E5" s="542"/>
    </row>
    <row r="6" spans="1:6" ht="15.75" x14ac:dyDescent="0.25">
      <c r="A6" s="445"/>
      <c r="B6" s="444"/>
      <c r="C6" s="434"/>
      <c r="D6" s="434"/>
    </row>
    <row r="7" spans="1:6" ht="15.75" x14ac:dyDescent="0.25">
      <c r="A7" s="445" t="s">
        <v>21</v>
      </c>
      <c r="B7" s="444" t="s">
        <v>177</v>
      </c>
      <c r="C7" s="434" t="s">
        <v>176</v>
      </c>
      <c r="D7" s="434" t="s">
        <v>5</v>
      </c>
    </row>
    <row r="8" spans="1:6" ht="15" x14ac:dyDescent="0.2">
      <c r="A8" s="432" t="s">
        <v>172</v>
      </c>
      <c r="B8" s="467">
        <f>Bareback!C5</f>
        <v>6</v>
      </c>
      <c r="C8" s="466">
        <v>15</v>
      </c>
      <c r="D8" s="466">
        <f t="shared" ref="D8:D20" si="0">B8*C8</f>
        <v>90</v>
      </c>
      <c r="E8" s="464"/>
    </row>
    <row r="9" spans="1:6" ht="15" x14ac:dyDescent="0.2">
      <c r="A9" s="432" t="s">
        <v>171</v>
      </c>
      <c r="B9" s="467">
        <f>'Saddle Bronc'!C5</f>
        <v>8</v>
      </c>
      <c r="C9" s="466">
        <v>15</v>
      </c>
      <c r="D9" s="466">
        <f t="shared" si="0"/>
        <v>120</v>
      </c>
      <c r="E9" s="464"/>
    </row>
    <row r="10" spans="1:6" ht="15" x14ac:dyDescent="0.2">
      <c r="A10" s="432" t="s">
        <v>170</v>
      </c>
      <c r="B10" s="467">
        <f>'Bull Riding'!C5</f>
        <v>10</v>
      </c>
      <c r="C10" s="466">
        <v>15</v>
      </c>
      <c r="D10" s="466">
        <f t="shared" si="0"/>
        <v>150</v>
      </c>
      <c r="E10" s="464"/>
    </row>
    <row r="11" spans="1:6" ht="15" x14ac:dyDescent="0.2">
      <c r="A11" s="432" t="s">
        <v>169</v>
      </c>
      <c r="B11" s="467">
        <f>'Steer Wrestling'!C5</f>
        <v>31</v>
      </c>
      <c r="C11" s="466">
        <v>15</v>
      </c>
      <c r="D11" s="466">
        <f t="shared" si="0"/>
        <v>465</v>
      </c>
      <c r="E11" s="464"/>
    </row>
    <row r="12" spans="1:6" ht="15" x14ac:dyDescent="0.2">
      <c r="A12" s="432" t="s">
        <v>168</v>
      </c>
      <c r="B12" s="467">
        <f>'Tie Down Roping'!C5</f>
        <v>33</v>
      </c>
      <c r="C12" s="466">
        <v>15</v>
      </c>
      <c r="D12" s="466">
        <f t="shared" si="0"/>
        <v>495</v>
      </c>
      <c r="E12" s="464"/>
    </row>
    <row r="13" spans="1:6" ht="15" x14ac:dyDescent="0.2">
      <c r="A13" s="432" t="s">
        <v>167</v>
      </c>
      <c r="B13" s="467">
        <f>Breakaway!C5</f>
        <v>46</v>
      </c>
      <c r="C13" s="466">
        <v>15</v>
      </c>
      <c r="D13" s="466">
        <f t="shared" si="0"/>
        <v>690</v>
      </c>
      <c r="E13" s="464"/>
    </row>
    <row r="14" spans="1:6" ht="15" x14ac:dyDescent="0.2">
      <c r="A14" s="432" t="s">
        <v>165</v>
      </c>
      <c r="B14" s="467">
        <f>'TR Header'!C5</f>
        <v>87</v>
      </c>
      <c r="C14" s="466">
        <v>15</v>
      </c>
      <c r="D14" s="466">
        <f t="shared" si="0"/>
        <v>1305</v>
      </c>
      <c r="E14" s="464"/>
    </row>
    <row r="15" spans="1:6" ht="15" x14ac:dyDescent="0.2">
      <c r="A15" s="432" t="s">
        <v>164</v>
      </c>
      <c r="B15" s="467">
        <f>'TR Heeler'!C5</f>
        <v>87</v>
      </c>
      <c r="C15" s="466">
        <v>15</v>
      </c>
      <c r="D15" s="466">
        <f t="shared" si="0"/>
        <v>1305</v>
      </c>
      <c r="E15" s="464"/>
    </row>
    <row r="16" spans="1:6" ht="15" x14ac:dyDescent="0.2">
      <c r="A16" s="432" t="s">
        <v>163</v>
      </c>
      <c r="B16" s="467">
        <f>'Jr. Breakaway'!C5</f>
        <v>15</v>
      </c>
      <c r="C16" s="466">
        <v>15</v>
      </c>
      <c r="D16" s="466">
        <f t="shared" si="0"/>
        <v>225</v>
      </c>
      <c r="E16" s="464"/>
    </row>
    <row r="17" spans="1:7" ht="15" x14ac:dyDescent="0.2">
      <c r="A17" s="432" t="s">
        <v>161</v>
      </c>
      <c r="B17" s="467">
        <f>'Jr. Bull Riding'!C5</f>
        <v>3</v>
      </c>
      <c r="C17" s="466">
        <v>15</v>
      </c>
      <c r="D17" s="466">
        <f t="shared" si="0"/>
        <v>45</v>
      </c>
      <c r="E17" s="464"/>
    </row>
    <row r="18" spans="1:7" ht="15" x14ac:dyDescent="0.2">
      <c r="A18" s="432" t="s">
        <v>160</v>
      </c>
      <c r="B18" s="467">
        <f>'Sr. Breakaway'!C5</f>
        <v>36</v>
      </c>
      <c r="C18" s="466">
        <v>15</v>
      </c>
      <c r="D18" s="468">
        <f t="shared" si="0"/>
        <v>540</v>
      </c>
      <c r="E18" s="464"/>
    </row>
    <row r="19" spans="1:7" ht="15" x14ac:dyDescent="0.2">
      <c r="A19" s="432" t="s">
        <v>159</v>
      </c>
      <c r="B19" s="467">
        <f>'Sr. TR Header'!C5</f>
        <v>43</v>
      </c>
      <c r="C19" s="466">
        <v>15</v>
      </c>
      <c r="D19" s="466">
        <f t="shared" si="0"/>
        <v>645</v>
      </c>
      <c r="E19" s="464"/>
    </row>
    <row r="20" spans="1:7" ht="15" x14ac:dyDescent="0.2">
      <c r="A20" s="432" t="s">
        <v>158</v>
      </c>
      <c r="B20" s="467">
        <f>'Sr. TR Heeler'!C5</f>
        <v>43</v>
      </c>
      <c r="C20" s="466">
        <v>15</v>
      </c>
      <c r="D20" s="465">
        <f t="shared" si="0"/>
        <v>645</v>
      </c>
      <c r="E20" s="464"/>
    </row>
    <row r="21" spans="1:7" ht="15" x14ac:dyDescent="0.2">
      <c r="A21" s="432"/>
      <c r="B21" s="440"/>
      <c r="C21" s="431"/>
      <c r="D21" s="431">
        <f>SUM(D8:D20)</f>
        <v>6720</v>
      </c>
    </row>
    <row r="22" spans="1:7" x14ac:dyDescent="0.2">
      <c r="B22" s="447"/>
      <c r="C22" s="447"/>
      <c r="D22" s="463"/>
      <c r="E22" s="436"/>
    </row>
    <row r="23" spans="1:7" ht="15.75" x14ac:dyDescent="0.25">
      <c r="B23" s="447"/>
      <c r="C23" s="447"/>
      <c r="D23" s="456"/>
      <c r="E23" s="436"/>
    </row>
    <row r="24" spans="1:7" x14ac:dyDescent="0.2">
      <c r="B24" s="447"/>
      <c r="C24" s="447"/>
      <c r="D24" s="447"/>
    </row>
    <row r="25" spans="1:7" x14ac:dyDescent="0.2">
      <c r="B25" s="447"/>
      <c r="C25" s="447"/>
    </row>
    <row r="26" spans="1:7" x14ac:dyDescent="0.2">
      <c r="A26" s="460"/>
      <c r="B26" s="460"/>
      <c r="C26" s="460"/>
      <c r="D26" s="460"/>
      <c r="E26" s="460"/>
    </row>
    <row r="27" spans="1:7" s="432" customFormat="1" ht="15" x14ac:dyDescent="0.2">
      <c r="A27" s="432" t="s">
        <v>175</v>
      </c>
      <c r="B27" s="440"/>
      <c r="C27" s="431"/>
      <c r="D27" s="431"/>
      <c r="G27" s="451"/>
    </row>
    <row r="28" spans="1:7" s="432" customFormat="1" ht="15" x14ac:dyDescent="0.2">
      <c r="B28" s="440"/>
      <c r="C28" s="431"/>
      <c r="D28" s="431"/>
      <c r="G28" s="451"/>
    </row>
    <row r="29" spans="1:7" x14ac:dyDescent="0.2">
      <c r="A29" s="460"/>
      <c r="B29" s="462"/>
      <c r="C29" s="461"/>
      <c r="D29" s="461"/>
      <c r="E29" s="460"/>
    </row>
    <row r="30" spans="1:7" s="432" customFormat="1" ht="15" x14ac:dyDescent="0.2">
      <c r="A30" s="432" t="s">
        <v>180</v>
      </c>
      <c r="B30" s="440"/>
      <c r="C30" s="431"/>
      <c r="D30" s="431"/>
      <c r="G30" s="451"/>
    </row>
    <row r="33" spans="1:5" s="448" customFormat="1" x14ac:dyDescent="0.2">
      <c r="B33" s="455"/>
      <c r="C33" s="454"/>
      <c r="D33" s="454"/>
    </row>
    <row r="34" spans="1:5" s="448" customFormat="1" ht="15.75" x14ac:dyDescent="0.25">
      <c r="A34" s="544"/>
      <c r="B34" s="544"/>
      <c r="C34" s="544"/>
      <c r="D34" s="544"/>
      <c r="E34" s="459"/>
    </row>
    <row r="35" spans="1:5" s="448" customFormat="1" ht="15" x14ac:dyDescent="0.2">
      <c r="A35" s="451"/>
      <c r="B35" s="453"/>
      <c r="C35" s="452"/>
      <c r="D35" s="452"/>
    </row>
    <row r="36" spans="1:5" s="448" customFormat="1" ht="15.75" x14ac:dyDescent="0.25">
      <c r="A36" s="458"/>
      <c r="B36" s="457"/>
      <c r="C36" s="456"/>
      <c r="D36" s="456"/>
    </row>
    <row r="37" spans="1:5" s="448" customFormat="1" ht="15" x14ac:dyDescent="0.2">
      <c r="A37" s="451"/>
      <c r="B37" s="453"/>
      <c r="C37" s="452"/>
      <c r="D37" s="452"/>
    </row>
    <row r="38" spans="1:5" s="448" customFormat="1" ht="15" x14ac:dyDescent="0.2">
      <c r="A38" s="451"/>
      <c r="B38" s="453"/>
      <c r="C38" s="452"/>
      <c r="D38" s="452"/>
    </row>
    <row r="39" spans="1:5" s="448" customFormat="1" ht="15" x14ac:dyDescent="0.2">
      <c r="A39" s="451"/>
      <c r="B39" s="453"/>
      <c r="C39" s="452"/>
      <c r="D39" s="452"/>
    </row>
    <row r="40" spans="1:5" s="448" customFormat="1" x14ac:dyDescent="0.2">
      <c r="B40" s="455"/>
      <c r="C40" s="454"/>
      <c r="D40" s="454"/>
    </row>
    <row r="41" spans="1:5" s="448" customFormat="1" x14ac:dyDescent="0.2">
      <c r="B41" s="455"/>
      <c r="C41" s="454"/>
      <c r="D41" s="454"/>
    </row>
    <row r="42" spans="1:5" s="448" customFormat="1" x14ac:dyDescent="0.2">
      <c r="B42" s="455"/>
      <c r="C42" s="454"/>
      <c r="D42" s="454"/>
    </row>
    <row r="43" spans="1:5" s="448" customFormat="1" x14ac:dyDescent="0.2">
      <c r="B43" s="455"/>
      <c r="C43" s="454"/>
      <c r="D43" s="454"/>
    </row>
    <row r="44" spans="1:5" s="448" customFormat="1" ht="15" x14ac:dyDescent="0.2">
      <c r="A44" s="451"/>
      <c r="B44" s="453"/>
      <c r="C44" s="452"/>
      <c r="D44" s="452"/>
      <c r="E44" s="451"/>
    </row>
    <row r="45" spans="1:5" s="448" customFormat="1" ht="15" x14ac:dyDescent="0.2">
      <c r="A45" s="451"/>
      <c r="B45" s="453"/>
      <c r="C45" s="452"/>
      <c r="D45" s="452"/>
      <c r="E45" s="451"/>
    </row>
    <row r="46" spans="1:5" s="448" customFormat="1" x14ac:dyDescent="0.2">
      <c r="B46" s="455"/>
      <c r="C46" s="454"/>
      <c r="D46" s="454"/>
    </row>
    <row r="47" spans="1:5" s="448" customFormat="1" x14ac:dyDescent="0.2">
      <c r="B47" s="455"/>
      <c r="C47" s="454"/>
      <c r="D47" s="454"/>
    </row>
    <row r="48" spans="1:5" s="448" customFormat="1" x14ac:dyDescent="0.2">
      <c r="B48" s="455"/>
      <c r="C48" s="454"/>
      <c r="D48" s="454"/>
    </row>
    <row r="49" spans="1:5" s="448" customFormat="1" ht="15" x14ac:dyDescent="0.2">
      <c r="A49" s="451"/>
      <c r="B49" s="453"/>
      <c r="C49" s="452"/>
      <c r="D49" s="452"/>
      <c r="E49" s="451"/>
    </row>
  </sheetData>
  <mergeCells count="5">
    <mergeCell ref="A1:F1"/>
    <mergeCell ref="A2:F2"/>
    <mergeCell ref="A3:E3"/>
    <mergeCell ref="A5:E5"/>
    <mergeCell ref="A34:D34"/>
  </mergeCells>
  <printOptions horizontalCentered="1"/>
  <pageMargins left="1" right="1" top="1" bottom="1" header="0.3" footer="0.3"/>
  <pageSetup scale="135" orientation="portrait" r:id="rId1"/>
  <rowBreaks count="2" manualBreakCount="2">
    <brk id="32" max="16383" man="1"/>
    <brk id="55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view="pageBreakPreview" topLeftCell="A17" zoomScaleNormal="100" zoomScaleSheetLayoutView="100" workbookViewId="0">
      <selection sqref="A1:O37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2" style="30" bestFit="1" customWidth="1"/>
    <col min="5" max="5" width="4.1406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" style="30" bestFit="1" customWidth="1"/>
    <col min="15" max="15" width="9.5703125" style="30" customWidth="1"/>
    <col min="16" max="16" width="13.1406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15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6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600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39"/>
      <c r="B7" s="39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471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5600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336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5264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2105.6</v>
      </c>
      <c r="G18" s="47">
        <f>E14*0.2</f>
        <v>1052.8</v>
      </c>
      <c r="I18" s="255"/>
      <c r="J18" s="255"/>
      <c r="K18" s="255"/>
      <c r="L18" s="255">
        <f>E14*0.4</f>
        <v>2105.6</v>
      </c>
      <c r="M18" s="255"/>
      <c r="N18" s="255"/>
      <c r="O18" s="255"/>
      <c r="P18" s="255">
        <f>SUM(A18:M18)</f>
        <v>5264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38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38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38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4" x14ac:dyDescent="0.3">
      <c r="A21" s="93">
        <v>1</v>
      </c>
      <c r="B21" s="471" t="s">
        <v>187</v>
      </c>
      <c r="C21" s="72">
        <v>74</v>
      </c>
      <c r="D21" s="220">
        <f>B18*0.29</f>
        <v>610.62399999999991</v>
      </c>
      <c r="E21" s="90"/>
      <c r="F21" s="93">
        <v>1</v>
      </c>
      <c r="G21" s="483" t="s">
        <v>188</v>
      </c>
      <c r="H21" s="483">
        <v>65</v>
      </c>
      <c r="I21" s="220">
        <f>G18*0.4</f>
        <v>421.12</v>
      </c>
      <c r="J21" s="278"/>
      <c r="K21" s="312">
        <v>1</v>
      </c>
      <c r="L21" s="471" t="s">
        <v>187</v>
      </c>
      <c r="M21" s="72">
        <v>74</v>
      </c>
      <c r="N21" s="220">
        <f>L18*0.29</f>
        <v>610.62399999999991</v>
      </c>
      <c r="O21" s="278"/>
      <c r="P21" s="279"/>
      <c r="Q21" s="310"/>
      <c r="R21" s="246"/>
      <c r="S21" s="238"/>
    </row>
    <row r="22" spans="1:19" s="48" customFormat="1" ht="22.5" x14ac:dyDescent="0.3">
      <c r="A22" s="84">
        <v>2</v>
      </c>
      <c r="B22" s="73"/>
      <c r="C22" s="74"/>
      <c r="D22" s="220">
        <f>B18*0.24</f>
        <v>505.34399999999994</v>
      </c>
      <c r="E22" s="91"/>
      <c r="F22" s="84">
        <v>2</v>
      </c>
      <c r="G22" s="483" t="s">
        <v>189</v>
      </c>
      <c r="H22" s="483">
        <v>60</v>
      </c>
      <c r="I22" s="115">
        <f>G18*0.3</f>
        <v>315.83999999999997</v>
      </c>
      <c r="J22" s="282"/>
      <c r="K22" s="101">
        <v>2</v>
      </c>
      <c r="L22" s="281"/>
      <c r="M22" s="476"/>
      <c r="N22" s="115">
        <f>L18*0.24</f>
        <v>505.34399999999994</v>
      </c>
      <c r="O22" s="282"/>
      <c r="P22" s="279"/>
      <c r="Q22" s="310"/>
      <c r="R22" s="246"/>
      <c r="S22" s="238"/>
    </row>
    <row r="23" spans="1:19" s="48" customFormat="1" ht="22.5" x14ac:dyDescent="0.3">
      <c r="A23" s="84">
        <v>3</v>
      </c>
      <c r="B23" s="73"/>
      <c r="C23" s="74"/>
      <c r="D23" s="115">
        <f>B18*0.19</f>
        <v>400.06399999999996</v>
      </c>
      <c r="E23" s="91"/>
      <c r="F23" s="84">
        <v>3</v>
      </c>
      <c r="G23" s="73"/>
      <c r="H23" s="75"/>
      <c r="I23" s="115">
        <f>G18*0.2</f>
        <v>210.56</v>
      </c>
      <c r="J23" s="282"/>
      <c r="K23" s="101">
        <v>3</v>
      </c>
      <c r="L23" s="281"/>
      <c r="M23" s="476"/>
      <c r="N23" s="115">
        <f>L18*0.19</f>
        <v>400.06399999999996</v>
      </c>
      <c r="O23" s="282"/>
      <c r="P23" s="279"/>
      <c r="Q23" s="310"/>
      <c r="R23" s="246"/>
      <c r="S23" s="238"/>
    </row>
    <row r="24" spans="1:19" s="48" customFormat="1" ht="22.5" x14ac:dyDescent="0.3">
      <c r="A24" s="84">
        <v>4</v>
      </c>
      <c r="B24" s="73"/>
      <c r="C24" s="74"/>
      <c r="D24" s="115">
        <f>B18*0.14</f>
        <v>294.78399999999999</v>
      </c>
      <c r="E24" s="91"/>
      <c r="F24" s="84">
        <v>4</v>
      </c>
      <c r="G24" s="73"/>
      <c r="H24" s="75"/>
      <c r="I24" s="115">
        <f>G18*0.1</f>
        <v>105.28</v>
      </c>
      <c r="J24" s="282"/>
      <c r="K24" s="101">
        <v>4</v>
      </c>
      <c r="L24" s="281"/>
      <c r="M24" s="476"/>
      <c r="N24" s="115">
        <f>L18*0.14</f>
        <v>294.78399999999999</v>
      </c>
      <c r="O24" s="282"/>
      <c r="P24" s="279"/>
      <c r="Q24" s="310"/>
      <c r="R24" s="246"/>
      <c r="S24" s="238"/>
    </row>
    <row r="25" spans="1:19" s="48" customFormat="1" ht="22.5" x14ac:dyDescent="0.3">
      <c r="A25" s="84">
        <v>5</v>
      </c>
      <c r="B25" s="73"/>
      <c r="C25" s="73"/>
      <c r="D25" s="115">
        <v>155.29</v>
      </c>
      <c r="E25" s="91"/>
      <c r="F25" s="84">
        <v>5</v>
      </c>
      <c r="G25" s="73"/>
      <c r="H25" s="75"/>
      <c r="I25" s="115"/>
      <c r="J25" s="282"/>
      <c r="K25" s="101">
        <v>5</v>
      </c>
      <c r="L25" s="281"/>
      <c r="M25" s="476"/>
      <c r="N25" s="115">
        <f>L18*0.09</f>
        <v>189.50399999999999</v>
      </c>
      <c r="O25" s="282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73"/>
      <c r="C26" s="73"/>
      <c r="D26" s="115">
        <v>155.29</v>
      </c>
      <c r="E26" s="91"/>
      <c r="F26" s="84">
        <v>6</v>
      </c>
      <c r="G26" s="73"/>
      <c r="H26" s="73"/>
      <c r="I26" s="115"/>
      <c r="J26" s="282"/>
      <c r="K26" s="101">
        <v>6</v>
      </c>
      <c r="L26" s="281"/>
      <c r="M26" s="476"/>
      <c r="N26" s="115">
        <f>L18*0.05</f>
        <v>105.28</v>
      </c>
      <c r="O26" s="282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73"/>
      <c r="C27" s="75"/>
      <c r="D27" s="115"/>
      <c r="E27" s="91"/>
      <c r="F27" s="84">
        <v>7</v>
      </c>
      <c r="G27" s="84"/>
      <c r="H27" s="84"/>
      <c r="I27" s="115"/>
      <c r="J27" s="282"/>
      <c r="K27" s="101">
        <v>7</v>
      </c>
      <c r="L27" s="281"/>
      <c r="M27" s="476"/>
      <c r="N27" s="115"/>
      <c r="O27" s="28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73"/>
      <c r="C28" s="75"/>
      <c r="D28" s="115"/>
      <c r="E28" s="91"/>
      <c r="F28" s="84">
        <v>8</v>
      </c>
      <c r="G28" s="84"/>
      <c r="H28" s="84"/>
      <c r="I28" s="115"/>
      <c r="J28" s="282"/>
      <c r="K28" s="101">
        <v>8</v>
      </c>
      <c r="L28" s="274"/>
      <c r="M28" s="274"/>
      <c r="N28" s="115"/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75"/>
      <c r="D29" s="115"/>
      <c r="E29" s="91"/>
      <c r="F29" s="84">
        <v>9</v>
      </c>
      <c r="G29" s="84"/>
      <c r="H29" s="84"/>
      <c r="I29" s="115"/>
      <c r="J29" s="282"/>
      <c r="K29" s="101">
        <v>9</v>
      </c>
      <c r="L29" s="274"/>
      <c r="M29" s="274"/>
      <c r="N29" s="115"/>
      <c r="O29" s="282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75"/>
      <c r="D30" s="115"/>
      <c r="E30" s="91"/>
      <c r="F30" s="84">
        <v>10</v>
      </c>
      <c r="G30" s="84"/>
      <c r="H30" s="84"/>
      <c r="I30" s="115"/>
      <c r="J30" s="282"/>
      <c r="K30" s="101">
        <v>10</v>
      </c>
      <c r="L30" s="274"/>
      <c r="M30" s="274"/>
      <c r="N30" s="115"/>
      <c r="O30" s="282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77"/>
      <c r="E31" s="91"/>
      <c r="F31" s="84">
        <v>11</v>
      </c>
      <c r="G31" s="84"/>
      <c r="H31" s="84"/>
      <c r="I31" s="115"/>
      <c r="J31" s="282"/>
      <c r="K31" s="101">
        <v>11</v>
      </c>
      <c r="L31" s="274"/>
      <c r="M31" s="274"/>
      <c r="N31" s="115"/>
      <c r="O31" s="282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91"/>
      <c r="F32" s="84">
        <v>12</v>
      </c>
      <c r="G32" s="84"/>
      <c r="H32" s="84"/>
      <c r="I32" s="115"/>
      <c r="J32" s="282"/>
      <c r="K32" s="101">
        <v>12</v>
      </c>
      <c r="L32" s="274"/>
      <c r="M32" s="274"/>
      <c r="N32" s="115"/>
      <c r="O32" s="282"/>
      <c r="P32" s="279"/>
      <c r="Q32" s="310"/>
      <c r="R32" s="246"/>
      <c r="S32" s="238"/>
    </row>
    <row r="33" spans="1:19" ht="15.75" x14ac:dyDescent="0.25">
      <c r="D33" s="49">
        <f>SUM(D21:D32)</f>
        <v>2121.3959999999997</v>
      </c>
      <c r="F33" s="31"/>
      <c r="I33" s="271">
        <f>SUM(I21:I32)</f>
        <v>1052.8</v>
      </c>
      <c r="J33" s="271"/>
      <c r="K33" s="271"/>
      <c r="L33" s="271"/>
      <c r="M33" s="271"/>
      <c r="N33" s="271">
        <f>SUM(N21:N32)</f>
        <v>2105.6</v>
      </c>
      <c r="O33" s="271"/>
      <c r="P33" s="271">
        <f>SUM(D33:O33)</f>
        <v>5279.7960000000003</v>
      </c>
      <c r="Q33" s="248"/>
      <c r="R33" s="244"/>
      <c r="S33" s="238"/>
    </row>
    <row r="34" spans="1:19" s="50" customFormat="1" ht="12.75" customHeight="1" x14ac:dyDescent="0.2">
      <c r="I34" s="271"/>
      <c r="J34" s="271"/>
      <c r="K34" s="271"/>
      <c r="L34" s="271"/>
      <c r="M34" s="271"/>
      <c r="N34" s="271"/>
      <c r="O34" s="271"/>
      <c r="P34" s="271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3:B3"/>
    <mergeCell ref="A1:B1"/>
    <mergeCell ref="C1:I1"/>
    <mergeCell ref="A39:O39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A36:O36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view="pageBreakPreview" zoomScaleNormal="100" zoomScaleSheetLayoutView="100" workbookViewId="0">
      <selection activeCell="L21" sqref="L21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2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" style="30" bestFit="1" customWidth="1"/>
    <col min="15" max="15" width="9.5703125" style="30" customWidth="1"/>
    <col min="16" max="16" width="13.1406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18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31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3100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39"/>
      <c r="B7" s="39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8100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486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7614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3045.6000000000004</v>
      </c>
      <c r="G18" s="47">
        <f>E14*0.2</f>
        <v>1522.8000000000002</v>
      </c>
      <c r="I18" s="255"/>
      <c r="J18" s="255"/>
      <c r="K18" s="255"/>
      <c r="L18" s="255">
        <f>E14*0.4</f>
        <v>3045.6000000000004</v>
      </c>
      <c r="M18" s="255"/>
      <c r="N18" s="255"/>
      <c r="O18" s="255"/>
      <c r="P18" s="255">
        <f>SUM(A18:M18)</f>
        <v>7614.0000000000009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12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5.5" x14ac:dyDescent="0.3">
      <c r="A21" s="93">
        <v>1</v>
      </c>
      <c r="B21" s="487" t="s">
        <v>195</v>
      </c>
      <c r="C21" s="472">
        <v>5.24</v>
      </c>
      <c r="D21" s="220">
        <f>B18*0.29</f>
        <v>883.22400000000005</v>
      </c>
      <c r="E21" s="97"/>
      <c r="F21" s="93">
        <v>1</v>
      </c>
      <c r="G21" s="485" t="s">
        <v>191</v>
      </c>
      <c r="H21" s="485">
        <v>3.89</v>
      </c>
      <c r="I21" s="220">
        <f>G18*0.4</f>
        <v>609.12000000000012</v>
      </c>
      <c r="J21" s="278"/>
      <c r="K21" s="312">
        <v>1</v>
      </c>
      <c r="L21" s="484" t="s">
        <v>190</v>
      </c>
      <c r="M21" s="484">
        <v>12.280000000000001</v>
      </c>
      <c r="N21" s="220">
        <f>L18*0.29</f>
        <v>883.22400000000005</v>
      </c>
      <c r="O21" s="484"/>
      <c r="P21" s="279"/>
      <c r="Q21" s="310"/>
      <c r="R21" s="246"/>
      <c r="S21" s="238"/>
    </row>
    <row r="22" spans="1:19" s="48" customFormat="1" ht="25.5" x14ac:dyDescent="0.3">
      <c r="A22" s="84">
        <v>2</v>
      </c>
      <c r="B22" s="487" t="s">
        <v>197</v>
      </c>
      <c r="C22" s="472">
        <v>6.02</v>
      </c>
      <c r="D22" s="220">
        <f>B18*0.24</f>
        <v>730.94400000000007</v>
      </c>
      <c r="E22" s="100"/>
      <c r="F22" s="84">
        <v>2</v>
      </c>
      <c r="G22" s="484" t="s">
        <v>190</v>
      </c>
      <c r="H22" s="484">
        <v>6.25</v>
      </c>
      <c r="I22" s="115">
        <f>G18*0.3</f>
        <v>456.84000000000003</v>
      </c>
      <c r="J22" s="282"/>
      <c r="K22" s="101">
        <v>2</v>
      </c>
      <c r="L22" s="485" t="s">
        <v>191</v>
      </c>
      <c r="M22" s="485">
        <v>18.989999999999998</v>
      </c>
      <c r="N22" s="220">
        <f>L18*0.24</f>
        <v>730.94400000000007</v>
      </c>
      <c r="O22" s="484"/>
      <c r="P22" s="279"/>
      <c r="Q22" s="310"/>
      <c r="R22" s="246"/>
      <c r="S22" s="238"/>
    </row>
    <row r="23" spans="1:19" s="48" customFormat="1" ht="25.5" x14ac:dyDescent="0.3">
      <c r="A23" s="84">
        <v>3</v>
      </c>
      <c r="B23" s="487" t="s">
        <v>190</v>
      </c>
      <c r="C23" s="472">
        <v>6.03</v>
      </c>
      <c r="D23" s="220">
        <f>B18*0.19</f>
        <v>578.6640000000001</v>
      </c>
      <c r="E23" s="100"/>
      <c r="F23" s="84">
        <v>3</v>
      </c>
      <c r="G23" s="484" t="s">
        <v>194</v>
      </c>
      <c r="H23" s="484">
        <v>8.18</v>
      </c>
      <c r="I23" s="115">
        <f>G18*0.2</f>
        <v>304.56000000000006</v>
      </c>
      <c r="J23" s="282"/>
      <c r="K23" s="101">
        <v>3</v>
      </c>
      <c r="L23" s="484" t="s">
        <v>192</v>
      </c>
      <c r="M23" s="484">
        <v>19.939999999999998</v>
      </c>
      <c r="N23" s="220">
        <f>L18*0.19</f>
        <v>578.6640000000001</v>
      </c>
      <c r="O23" s="484"/>
      <c r="P23" s="279"/>
      <c r="Q23" s="310"/>
      <c r="R23" s="246"/>
      <c r="S23" s="238"/>
    </row>
    <row r="24" spans="1:19" s="48" customFormat="1" ht="24" x14ac:dyDescent="0.3">
      <c r="A24" s="84">
        <v>4</v>
      </c>
      <c r="B24" s="487" t="s">
        <v>192</v>
      </c>
      <c r="C24" s="472">
        <v>8.1</v>
      </c>
      <c r="D24" s="220">
        <f>B18*0.14</f>
        <v>426.38400000000007</v>
      </c>
      <c r="E24" s="100"/>
      <c r="F24" s="84">
        <v>4</v>
      </c>
      <c r="G24" s="484" t="s">
        <v>193</v>
      </c>
      <c r="H24" s="484">
        <v>10.53</v>
      </c>
      <c r="I24" s="115">
        <f>G18*0.1</f>
        <v>152.28000000000003</v>
      </c>
      <c r="J24" s="282"/>
      <c r="K24" s="101">
        <v>4</v>
      </c>
      <c r="L24" s="484" t="s">
        <v>193</v>
      </c>
      <c r="M24" s="484">
        <v>25.03</v>
      </c>
      <c r="N24" s="220">
        <f>L18*0.14</f>
        <v>426.38400000000007</v>
      </c>
      <c r="O24" s="484"/>
      <c r="P24" s="279"/>
      <c r="Q24" s="310"/>
      <c r="R24" s="246"/>
      <c r="S24" s="238"/>
    </row>
    <row r="25" spans="1:19" s="48" customFormat="1" ht="25.5" x14ac:dyDescent="0.3">
      <c r="A25" s="84">
        <v>5</v>
      </c>
      <c r="B25" s="487" t="s">
        <v>198</v>
      </c>
      <c r="C25" s="472">
        <v>8.1999999999999993</v>
      </c>
      <c r="D25" s="220">
        <f>B18*0.09</f>
        <v>274.10400000000004</v>
      </c>
      <c r="E25" s="100"/>
      <c r="F25" s="84">
        <v>5</v>
      </c>
      <c r="G25" s="484" t="s">
        <v>192</v>
      </c>
      <c r="H25" s="484">
        <v>11.84</v>
      </c>
      <c r="I25" s="115"/>
      <c r="J25" s="282"/>
      <c r="K25" s="101">
        <v>5</v>
      </c>
      <c r="L25" s="484" t="s">
        <v>194</v>
      </c>
      <c r="M25" s="484">
        <v>25.05</v>
      </c>
      <c r="N25" s="220">
        <f>L18*0.09</f>
        <v>274.10400000000004</v>
      </c>
      <c r="O25" s="484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483" t="s">
        <v>199</v>
      </c>
      <c r="C26" s="472">
        <v>10.29</v>
      </c>
      <c r="D26" s="115">
        <f>B18*0.05</f>
        <v>152.28000000000003</v>
      </c>
      <c r="E26" s="100"/>
      <c r="F26" s="84">
        <v>6</v>
      </c>
      <c r="G26" s="73"/>
      <c r="H26" s="75"/>
      <c r="I26" s="115"/>
      <c r="J26" s="282"/>
      <c r="K26" s="101">
        <v>6</v>
      </c>
      <c r="L26" s="486" t="s">
        <v>195</v>
      </c>
      <c r="M26" s="486">
        <v>5.24</v>
      </c>
      <c r="N26" s="115">
        <f>L18*0.05</f>
        <v>152.28000000000003</v>
      </c>
      <c r="O26" s="484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483" t="s">
        <v>200</v>
      </c>
      <c r="C27" s="472">
        <v>11.84</v>
      </c>
      <c r="D27" s="115"/>
      <c r="E27" s="100"/>
      <c r="F27" s="84">
        <v>7</v>
      </c>
      <c r="G27" s="84"/>
      <c r="H27" s="84"/>
      <c r="I27" s="115"/>
      <c r="J27" s="282"/>
      <c r="K27" s="101">
        <v>7</v>
      </c>
      <c r="L27" s="281"/>
      <c r="M27" s="474"/>
      <c r="N27" s="223"/>
      <c r="O27" s="28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483" t="s">
        <v>193</v>
      </c>
      <c r="C28" s="472">
        <v>14.5</v>
      </c>
      <c r="D28" s="115"/>
      <c r="E28" s="100"/>
      <c r="F28" s="84">
        <v>8</v>
      </c>
      <c r="G28" s="84"/>
      <c r="H28" s="84"/>
      <c r="I28" s="115"/>
      <c r="J28" s="282"/>
      <c r="K28" s="101">
        <v>8</v>
      </c>
      <c r="L28" s="274"/>
      <c r="M28" s="274"/>
      <c r="N28" s="223"/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488" t="s">
        <v>191</v>
      </c>
      <c r="C29" s="472">
        <v>15.1</v>
      </c>
      <c r="D29" s="115"/>
      <c r="E29" s="100"/>
      <c r="F29" s="84">
        <v>9</v>
      </c>
      <c r="G29" s="84"/>
      <c r="H29" s="84"/>
      <c r="I29" s="115"/>
      <c r="J29" s="282"/>
      <c r="K29" s="101">
        <v>9</v>
      </c>
      <c r="L29" s="274"/>
      <c r="M29" s="274"/>
      <c r="N29" s="223"/>
      <c r="O29" s="282"/>
      <c r="P29" s="279"/>
      <c r="Q29" s="310"/>
      <c r="R29" s="246"/>
      <c r="S29" s="238"/>
    </row>
    <row r="30" spans="1:19" s="48" customFormat="1" ht="24" x14ac:dyDescent="0.3">
      <c r="A30" s="84">
        <v>10</v>
      </c>
      <c r="B30" s="483" t="s">
        <v>194</v>
      </c>
      <c r="C30" s="472">
        <v>16.87</v>
      </c>
      <c r="D30" s="221"/>
      <c r="E30" s="100"/>
      <c r="F30" s="84">
        <v>10</v>
      </c>
      <c r="G30" s="84"/>
      <c r="H30" s="84"/>
      <c r="I30" s="115"/>
      <c r="J30" s="282"/>
      <c r="K30" s="101">
        <v>10</v>
      </c>
      <c r="L30" s="294"/>
      <c r="M30" s="294"/>
      <c r="N30" s="295"/>
      <c r="O30" s="296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77"/>
      <c r="E31" s="100"/>
      <c r="F31" s="84">
        <v>11</v>
      </c>
      <c r="G31" s="84"/>
      <c r="H31" s="84"/>
      <c r="I31" s="115"/>
      <c r="J31" s="282"/>
      <c r="K31" s="101">
        <v>11</v>
      </c>
      <c r="L31" s="294"/>
      <c r="M31" s="294"/>
      <c r="N31" s="295"/>
      <c r="O31" s="296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31"/>
      <c r="H32" s="131"/>
      <c r="I32" s="297"/>
      <c r="J32" s="296"/>
      <c r="K32" s="101">
        <v>12</v>
      </c>
      <c r="L32" s="294"/>
      <c r="M32" s="294"/>
      <c r="N32" s="295"/>
      <c r="O32" s="296"/>
      <c r="P32" s="279"/>
      <c r="Q32" s="310"/>
      <c r="R32" s="246"/>
      <c r="S32" s="238"/>
    </row>
    <row r="33" spans="1:19" ht="15.75" x14ac:dyDescent="0.25">
      <c r="D33" s="49">
        <f>SUM(D21:D32)</f>
        <v>3045.6000000000008</v>
      </c>
      <c r="F33" s="31"/>
      <c r="I33" s="271">
        <f>SUM(I21:I32)</f>
        <v>1522.8</v>
      </c>
      <c r="J33" s="271"/>
      <c r="K33" s="271"/>
      <c r="L33" s="271"/>
      <c r="M33" s="271"/>
      <c r="N33" s="271">
        <f>SUM(N21:N32)</f>
        <v>3045.6000000000008</v>
      </c>
      <c r="O33" s="271"/>
      <c r="P33" s="271">
        <f>SUM(B33:O33)</f>
        <v>7614.0000000000018</v>
      </c>
      <c r="Q33" s="248"/>
      <c r="R33" s="244"/>
      <c r="S33" s="238"/>
    </row>
    <row r="34" spans="1:19" s="50" customFormat="1" ht="12.75" customHeight="1" x14ac:dyDescent="0.2">
      <c r="I34" s="271"/>
      <c r="J34" s="271"/>
      <c r="K34" s="271"/>
      <c r="L34" s="271"/>
      <c r="M34" s="271"/>
      <c r="N34" s="271"/>
      <c r="O34" s="271"/>
      <c r="P34" s="271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3:B3"/>
    <mergeCell ref="A1:B1"/>
    <mergeCell ref="C1:I1"/>
    <mergeCell ref="A39:O39"/>
    <mergeCell ref="A36:O36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view="pageBreakPreview" zoomScaleNormal="100" zoomScaleSheetLayoutView="100" workbookViewId="0">
      <selection sqref="A1:O29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2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" style="30" bestFit="1" customWidth="1"/>
    <col min="15" max="15" width="9.5703125" style="30" customWidth="1"/>
    <col min="16" max="16" width="13.1406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16</v>
      </c>
      <c r="D3" s="36"/>
      <c r="E3" s="36"/>
      <c r="F3" s="36"/>
      <c r="G3" s="36"/>
      <c r="H3" s="31"/>
      <c r="I3" s="78"/>
      <c r="J3" s="83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83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8</v>
      </c>
      <c r="D5" s="31"/>
      <c r="E5" s="31"/>
      <c r="F5" s="31"/>
      <c r="G5" s="31"/>
      <c r="H5" s="31"/>
      <c r="I5" s="78"/>
      <c r="J5" s="83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800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39"/>
      <c r="B7" s="39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5800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348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5452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70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2180.8000000000002</v>
      </c>
      <c r="G18" s="47">
        <f>E14*0.2</f>
        <v>1090.4000000000001</v>
      </c>
      <c r="I18" s="255"/>
      <c r="J18" s="255"/>
      <c r="K18" s="255"/>
      <c r="L18" s="255">
        <f>E14*0.4</f>
        <v>2180.8000000000002</v>
      </c>
      <c r="M18" s="255"/>
      <c r="N18" s="255"/>
      <c r="O18" s="255"/>
      <c r="P18" s="255">
        <f>SUM(A18:M18)</f>
        <v>5452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38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38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38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98" customFormat="1" ht="22.5" x14ac:dyDescent="0.2">
      <c r="A21" s="93">
        <v>1</v>
      </c>
      <c r="B21" s="483" t="s">
        <v>216</v>
      </c>
      <c r="C21" s="472">
        <v>48</v>
      </c>
      <c r="D21" s="220">
        <f>B18*0.29</f>
        <v>632.43200000000002</v>
      </c>
      <c r="E21" s="96"/>
      <c r="F21" s="93">
        <v>1</v>
      </c>
      <c r="G21" s="483" t="s">
        <v>216</v>
      </c>
      <c r="H21" s="92">
        <v>82</v>
      </c>
      <c r="I21" s="220">
        <f>G18*0.4</f>
        <v>436.16000000000008</v>
      </c>
      <c r="J21" s="276"/>
      <c r="K21" s="312">
        <v>1</v>
      </c>
      <c r="L21" s="483" t="s">
        <v>216</v>
      </c>
      <c r="M21" s="472">
        <v>130</v>
      </c>
      <c r="N21" s="220">
        <f>L18*0.29</f>
        <v>632.43200000000002</v>
      </c>
      <c r="O21" s="278"/>
      <c r="P21" s="279"/>
      <c r="Q21" s="311"/>
      <c r="R21" s="239"/>
      <c r="S21" s="238"/>
    </row>
    <row r="22" spans="1:19" s="98" customFormat="1" ht="22.5" x14ac:dyDescent="0.2">
      <c r="A22" s="84">
        <v>2</v>
      </c>
      <c r="B22" s="94"/>
      <c r="C22" s="95"/>
      <c r="D22" s="220">
        <f>B18*0.24</f>
        <v>523.39200000000005</v>
      </c>
      <c r="E22" s="99"/>
      <c r="F22" s="84">
        <v>2</v>
      </c>
      <c r="G22" s="73"/>
      <c r="H22" s="75"/>
      <c r="I22" s="115">
        <f>G18*0.3</f>
        <v>327.12</v>
      </c>
      <c r="J22" s="280"/>
      <c r="K22" s="101">
        <v>2</v>
      </c>
      <c r="L22" s="277"/>
      <c r="M22" s="281"/>
      <c r="N22" s="115">
        <f>L18*0.24</f>
        <v>523.39200000000005</v>
      </c>
      <c r="O22" s="282"/>
      <c r="P22" s="279"/>
      <c r="Q22" s="311"/>
      <c r="R22" s="239"/>
      <c r="S22" s="238"/>
    </row>
    <row r="23" spans="1:19" s="98" customFormat="1" ht="22.5" x14ac:dyDescent="0.2">
      <c r="A23" s="84">
        <v>3</v>
      </c>
      <c r="B23" s="94"/>
      <c r="C23" s="95"/>
      <c r="D23" s="220">
        <f>B18*0.19</f>
        <v>414.35200000000003</v>
      </c>
      <c r="E23" s="100"/>
      <c r="F23" s="84">
        <v>3</v>
      </c>
      <c r="G23" s="73"/>
      <c r="H23" s="75"/>
      <c r="I23" s="115">
        <f>G18*0.2</f>
        <v>218.08000000000004</v>
      </c>
      <c r="J23" s="280"/>
      <c r="K23" s="101">
        <v>3</v>
      </c>
      <c r="L23" s="281"/>
      <c r="M23" s="281"/>
      <c r="N23" s="115">
        <f>L18*0.19</f>
        <v>414.35200000000003</v>
      </c>
      <c r="O23" s="282"/>
      <c r="P23" s="279"/>
      <c r="Q23" s="311"/>
      <c r="R23" s="239"/>
      <c r="S23" s="238"/>
    </row>
    <row r="24" spans="1:19" s="98" customFormat="1" ht="22.5" x14ac:dyDescent="0.2">
      <c r="A24" s="84">
        <v>4</v>
      </c>
      <c r="B24" s="94"/>
      <c r="C24" s="95"/>
      <c r="D24" s="220">
        <f>B18*0.14</f>
        <v>305.31200000000007</v>
      </c>
      <c r="E24" s="102"/>
      <c r="F24" s="84">
        <v>4</v>
      </c>
      <c r="G24" s="73"/>
      <c r="H24" s="75"/>
      <c r="I24" s="115">
        <f>G18*0.1</f>
        <v>109.04000000000002</v>
      </c>
      <c r="J24" s="280"/>
      <c r="K24" s="101">
        <v>4</v>
      </c>
      <c r="L24" s="281"/>
      <c r="M24" s="281"/>
      <c r="N24" s="115">
        <f>L18*0.14</f>
        <v>305.31200000000007</v>
      </c>
      <c r="O24" s="282"/>
      <c r="P24" s="279"/>
      <c r="Q24" s="311"/>
      <c r="R24" s="239"/>
      <c r="S24" s="238"/>
    </row>
    <row r="25" spans="1:19" s="98" customFormat="1" ht="22.5" x14ac:dyDescent="0.2">
      <c r="A25" s="84">
        <v>5</v>
      </c>
      <c r="B25" s="94"/>
      <c r="C25" s="95"/>
      <c r="D25" s="220">
        <f>B18*0.09</f>
        <v>196.27200000000002</v>
      </c>
      <c r="E25" s="100"/>
      <c r="F25" s="84">
        <v>5</v>
      </c>
      <c r="G25" s="73"/>
      <c r="H25" s="75"/>
      <c r="I25" s="115"/>
      <c r="J25" s="280"/>
      <c r="K25" s="101">
        <v>5</v>
      </c>
      <c r="L25" s="281"/>
      <c r="M25" s="281"/>
      <c r="N25" s="115">
        <f>L18*0.09</f>
        <v>196.27200000000002</v>
      </c>
      <c r="O25" s="282"/>
      <c r="P25" s="279"/>
      <c r="Q25" s="311"/>
      <c r="R25" s="239"/>
      <c r="S25" s="238"/>
    </row>
    <row r="26" spans="1:19" s="98" customFormat="1" ht="22.5" x14ac:dyDescent="0.2">
      <c r="A26" s="84">
        <v>6</v>
      </c>
      <c r="B26" s="94"/>
      <c r="C26" s="95"/>
      <c r="D26" s="220">
        <f>B18*0.05</f>
        <v>109.04000000000002</v>
      </c>
      <c r="E26" s="100"/>
      <c r="F26" s="84">
        <v>6</v>
      </c>
      <c r="G26" s="73"/>
      <c r="H26" s="73"/>
      <c r="I26" s="115"/>
      <c r="J26" s="280"/>
      <c r="K26" s="101">
        <v>6</v>
      </c>
      <c r="L26" s="281"/>
      <c r="M26" s="281"/>
      <c r="N26" s="115">
        <f>L18*0.05</f>
        <v>109.04000000000002</v>
      </c>
      <c r="O26" s="282"/>
      <c r="P26" s="279"/>
      <c r="Q26" s="311"/>
      <c r="R26" s="239"/>
      <c r="S26" s="238"/>
    </row>
    <row r="27" spans="1:19" s="98" customFormat="1" ht="22.5" x14ac:dyDescent="0.2">
      <c r="A27" s="84">
        <v>7</v>
      </c>
      <c r="B27" s="103"/>
      <c r="C27" s="75"/>
      <c r="D27" s="115"/>
      <c r="E27" s="100"/>
      <c r="F27" s="84">
        <v>7</v>
      </c>
      <c r="G27" s="84"/>
      <c r="H27" s="84"/>
      <c r="I27" s="115"/>
      <c r="J27" s="280"/>
      <c r="K27" s="101">
        <v>7</v>
      </c>
      <c r="L27" s="281"/>
      <c r="M27" s="281"/>
      <c r="N27" s="115"/>
      <c r="O27" s="282"/>
      <c r="P27" s="279"/>
      <c r="Q27" s="311"/>
      <c r="R27" s="239"/>
      <c r="S27" s="238"/>
    </row>
    <row r="28" spans="1:19" s="98" customFormat="1" ht="22.5" x14ac:dyDescent="0.2">
      <c r="A28" s="84">
        <v>8</v>
      </c>
      <c r="B28" s="103"/>
      <c r="C28" s="75"/>
      <c r="D28" s="115"/>
      <c r="E28" s="100"/>
      <c r="F28" s="84">
        <v>8</v>
      </c>
      <c r="G28" s="84"/>
      <c r="H28" s="84"/>
      <c r="I28" s="115"/>
      <c r="J28" s="280"/>
      <c r="K28" s="101">
        <v>8</v>
      </c>
      <c r="L28" s="274"/>
      <c r="M28" s="274"/>
      <c r="N28" s="115"/>
      <c r="O28" s="282"/>
      <c r="P28" s="279"/>
      <c r="Q28" s="311"/>
      <c r="R28" s="239"/>
      <c r="S28" s="238"/>
    </row>
    <row r="29" spans="1:19" s="98" customFormat="1" ht="22.5" x14ac:dyDescent="0.2">
      <c r="A29" s="84">
        <v>9</v>
      </c>
      <c r="B29" s="103"/>
      <c r="C29" s="73"/>
      <c r="D29" s="115"/>
      <c r="E29" s="100"/>
      <c r="F29" s="84">
        <v>9</v>
      </c>
      <c r="G29" s="84"/>
      <c r="H29" s="84"/>
      <c r="I29" s="115"/>
      <c r="J29" s="280"/>
      <c r="K29" s="101">
        <v>9</v>
      </c>
      <c r="L29" s="274"/>
      <c r="M29" s="274"/>
      <c r="N29" s="115"/>
      <c r="O29" s="282"/>
      <c r="P29" s="279"/>
      <c r="Q29" s="311"/>
      <c r="R29" s="239"/>
      <c r="S29" s="238"/>
    </row>
    <row r="30" spans="1:19" s="98" customFormat="1" ht="22.5" x14ac:dyDescent="0.2">
      <c r="A30" s="84">
        <v>10</v>
      </c>
      <c r="B30" s="103"/>
      <c r="C30" s="73"/>
      <c r="D30" s="221"/>
      <c r="E30" s="100"/>
      <c r="F30" s="84">
        <v>10</v>
      </c>
      <c r="G30" s="84"/>
      <c r="H30" s="84"/>
      <c r="I30" s="115"/>
      <c r="J30" s="280"/>
      <c r="K30" s="101">
        <v>10</v>
      </c>
      <c r="L30" s="274"/>
      <c r="M30" s="274"/>
      <c r="N30" s="115"/>
      <c r="O30" s="282"/>
      <c r="P30" s="279"/>
      <c r="Q30" s="311"/>
      <c r="R30" s="239"/>
      <c r="S30" s="238"/>
    </row>
    <row r="31" spans="1:19" s="98" customFormat="1" ht="22.5" x14ac:dyDescent="0.2">
      <c r="A31" s="84">
        <v>11</v>
      </c>
      <c r="B31" s="104"/>
      <c r="C31" s="76"/>
      <c r="D31" s="77"/>
      <c r="E31" s="100"/>
      <c r="F31" s="84">
        <v>11</v>
      </c>
      <c r="G31" s="84"/>
      <c r="H31" s="84"/>
      <c r="I31" s="115"/>
      <c r="J31" s="280"/>
      <c r="K31" s="101">
        <v>11</v>
      </c>
      <c r="L31" s="274"/>
      <c r="M31" s="274"/>
      <c r="N31" s="115"/>
      <c r="O31" s="282"/>
      <c r="P31" s="279"/>
      <c r="Q31" s="311"/>
      <c r="R31" s="239"/>
      <c r="S31" s="238"/>
    </row>
    <row r="32" spans="1:19" s="98" customFormat="1" ht="22.5" x14ac:dyDescent="0.2">
      <c r="A32" s="84">
        <v>12</v>
      </c>
      <c r="B32" s="104"/>
      <c r="C32" s="76"/>
      <c r="D32" s="77"/>
      <c r="E32" s="100"/>
      <c r="F32" s="84">
        <v>12</v>
      </c>
      <c r="G32" s="84"/>
      <c r="H32" s="84"/>
      <c r="I32" s="115"/>
      <c r="J32" s="280"/>
      <c r="K32" s="101">
        <v>12</v>
      </c>
      <c r="L32" s="274"/>
      <c r="M32" s="274"/>
      <c r="N32" s="115"/>
      <c r="O32" s="282"/>
      <c r="P32" s="279"/>
      <c r="Q32" s="311"/>
      <c r="R32" s="239"/>
      <c r="S32" s="238"/>
    </row>
    <row r="33" spans="1:19" ht="15.75" x14ac:dyDescent="0.25">
      <c r="D33" s="49">
        <f>SUM(D21:D32)</f>
        <v>2180.8000000000002</v>
      </c>
      <c r="F33" s="31"/>
      <c r="I33" s="271">
        <f>SUM(I21:I32)</f>
        <v>1090.4000000000001</v>
      </c>
      <c r="J33" s="271"/>
      <c r="K33" s="271"/>
      <c r="L33" s="271"/>
      <c r="M33" s="271"/>
      <c r="N33" s="271">
        <f>SUM(N21:N32)</f>
        <v>2180.8000000000002</v>
      </c>
      <c r="O33" s="271"/>
      <c r="P33" s="271">
        <f>SUM(B33:O33)</f>
        <v>5452</v>
      </c>
      <c r="Q33" s="248"/>
      <c r="R33" s="244"/>
      <c r="S33" s="238"/>
    </row>
    <row r="34" spans="1:19" s="50" customFormat="1" ht="12.75" customHeight="1" x14ac:dyDescent="0.2">
      <c r="I34" s="271"/>
      <c r="J34" s="271"/>
      <c r="K34" s="271"/>
      <c r="L34" s="271"/>
      <c r="M34" s="271"/>
      <c r="N34" s="271"/>
      <c r="O34" s="271"/>
      <c r="P34" s="271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1:B1"/>
    <mergeCell ref="C1:I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A37:O37"/>
    <mergeCell ref="A38:O38"/>
    <mergeCell ref="A39:O39"/>
    <mergeCell ref="A14:B14"/>
    <mergeCell ref="E14:F14"/>
    <mergeCell ref="A35:O35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1"/>
  <sheetViews>
    <sheetView view="pageBreakPreview" zoomScaleNormal="100" zoomScaleSheetLayoutView="100" workbookViewId="0">
      <selection sqref="A1:O32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57" customWidth="1"/>
    <col min="4" max="4" width="14.42578125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.28515625" style="30" bestFit="1" customWidth="1"/>
    <col min="15" max="15" width="9.5703125" style="30" customWidth="1"/>
    <col min="16" max="16" width="15.7109375" style="58" bestFit="1" customWidth="1"/>
    <col min="17" max="17" width="9.140625" style="58"/>
    <col min="18" max="18" width="9.140625" style="57"/>
    <col min="19" max="21" width="9.140625" style="30"/>
    <col min="22" max="22" width="11.140625" style="30" bestFit="1" customWidth="1"/>
    <col min="23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C2" s="30"/>
      <c r="K2" s="78"/>
      <c r="N2" s="81"/>
      <c r="P2" s="30"/>
    </row>
    <row r="3" spans="1:19" ht="25.5" x14ac:dyDescent="0.35">
      <c r="A3" s="523" t="s">
        <v>0</v>
      </c>
      <c r="B3" s="513"/>
      <c r="C3" s="35" t="s">
        <v>19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  <c r="P3" s="30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  <c r="P4" s="30"/>
    </row>
    <row r="5" spans="1:19" ht="16.5" thickBot="1" x14ac:dyDescent="0.3">
      <c r="A5" s="513" t="s">
        <v>1</v>
      </c>
      <c r="B5" s="514"/>
      <c r="C5" s="37">
        <v>87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  <c r="P5" s="30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8700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85"/>
      <c r="B7" s="85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85"/>
      <c r="B9" s="86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13700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85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822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85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12878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85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85"/>
      <c r="B16" s="85"/>
      <c r="C16" s="85"/>
      <c r="D16" s="85"/>
      <c r="E16" s="85"/>
      <c r="F16" s="85"/>
      <c r="G16" s="85"/>
      <c r="H16" s="85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5151.2000000000007</v>
      </c>
      <c r="G18" s="47">
        <f>E14*0.2</f>
        <v>2575.6000000000004</v>
      </c>
      <c r="I18" s="255"/>
      <c r="J18" s="255"/>
      <c r="K18" s="255"/>
      <c r="L18" s="255">
        <f>E14*0.4</f>
        <v>5151.2000000000007</v>
      </c>
      <c r="M18" s="255"/>
      <c r="N18" s="255"/>
      <c r="O18" s="255"/>
      <c r="P18" s="255">
        <f>SUM(A18:M18)</f>
        <v>12878.000000000002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/>
      <c r="H20" s="33" t="s">
        <v>252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2.5" x14ac:dyDescent="0.3">
      <c r="A21" s="93">
        <v>1</v>
      </c>
      <c r="B21" s="71" t="s">
        <v>223</v>
      </c>
      <c r="C21" s="110">
        <v>6.14</v>
      </c>
      <c r="D21" s="220">
        <f>B18*0.23</f>
        <v>1184.7760000000003</v>
      </c>
      <c r="E21" s="97"/>
      <c r="F21" s="93">
        <v>1</v>
      </c>
      <c r="G21" s="71" t="s">
        <v>227</v>
      </c>
      <c r="H21" s="110">
        <v>6.84</v>
      </c>
      <c r="I21" s="220">
        <f>G18*0.29</f>
        <v>746.92400000000009</v>
      </c>
      <c r="J21" s="276"/>
      <c r="K21" s="312">
        <v>1</v>
      </c>
      <c r="L21" s="277" t="s">
        <v>227</v>
      </c>
      <c r="M21" s="473">
        <v>13.75</v>
      </c>
      <c r="N21" s="220">
        <f>L18*0.23</f>
        <v>1184.7760000000003</v>
      </c>
      <c r="O21" s="278"/>
      <c r="P21" s="279"/>
      <c r="Q21" s="310"/>
      <c r="R21" s="246"/>
      <c r="S21" s="238"/>
    </row>
    <row r="22" spans="1:19" s="48" customFormat="1" ht="22.5" x14ac:dyDescent="0.3">
      <c r="A22" s="84">
        <v>2</v>
      </c>
      <c r="B22" s="73" t="s">
        <v>224</v>
      </c>
      <c r="C22" s="112">
        <v>6.54</v>
      </c>
      <c r="D22" s="115">
        <f>B18*0.2</f>
        <v>1030.2400000000002</v>
      </c>
      <c r="E22" s="100"/>
      <c r="F22" s="84">
        <v>2</v>
      </c>
      <c r="G22" s="73" t="s">
        <v>228</v>
      </c>
      <c r="H22" s="112">
        <v>7.39</v>
      </c>
      <c r="I22" s="115">
        <f>G18*0.24</f>
        <v>618.14400000000012</v>
      </c>
      <c r="J22" s="280"/>
      <c r="K22" s="101">
        <v>2</v>
      </c>
      <c r="L22" s="281" t="s">
        <v>228</v>
      </c>
      <c r="M22" s="474">
        <v>15.16</v>
      </c>
      <c r="N22" s="115">
        <f>L18*0.2</f>
        <v>1030.2400000000002</v>
      </c>
      <c r="O22" s="282"/>
      <c r="P22" s="279"/>
      <c r="Q22" s="310"/>
      <c r="R22" s="246"/>
      <c r="S22" s="238"/>
    </row>
    <row r="23" spans="1:19" s="48" customFormat="1" ht="22.5" x14ac:dyDescent="0.3">
      <c r="A23" s="84">
        <v>3</v>
      </c>
      <c r="B23" s="73" t="s">
        <v>225</v>
      </c>
      <c r="C23" s="112">
        <v>6.72</v>
      </c>
      <c r="D23" s="115">
        <f>B18*0.17</f>
        <v>875.70400000000018</v>
      </c>
      <c r="E23" s="100"/>
      <c r="F23" s="84">
        <v>3</v>
      </c>
      <c r="G23" s="73" t="s">
        <v>229</v>
      </c>
      <c r="H23" s="112">
        <v>8.74</v>
      </c>
      <c r="I23" s="115">
        <f>G18*0.19</f>
        <v>489.36400000000009</v>
      </c>
      <c r="J23" s="280"/>
      <c r="K23" s="101">
        <v>3</v>
      </c>
      <c r="L23" s="281" t="s">
        <v>229</v>
      </c>
      <c r="M23" s="474">
        <v>16.78</v>
      </c>
      <c r="N23" s="115">
        <f>L18*0.17</f>
        <v>875.70400000000018</v>
      </c>
      <c r="O23" s="282"/>
      <c r="P23" s="279"/>
      <c r="Q23" s="310"/>
      <c r="R23" s="246"/>
      <c r="S23" s="238"/>
    </row>
    <row r="24" spans="1:19" s="48" customFormat="1" ht="22.5" x14ac:dyDescent="0.3">
      <c r="A24" s="84">
        <v>4</v>
      </c>
      <c r="B24" s="73" t="s">
        <v>226</v>
      </c>
      <c r="C24" s="112">
        <v>6.79</v>
      </c>
      <c r="D24" s="115">
        <f>B18*0.14</f>
        <v>721.16800000000012</v>
      </c>
      <c r="E24" s="100"/>
      <c r="F24" s="84">
        <v>4</v>
      </c>
      <c r="G24" s="73" t="s">
        <v>253</v>
      </c>
      <c r="H24" s="112">
        <v>10.84</v>
      </c>
      <c r="I24" s="115">
        <f>G18*0.14</f>
        <v>360.58400000000006</v>
      </c>
      <c r="J24" s="280"/>
      <c r="K24" s="101">
        <v>4</v>
      </c>
      <c r="L24" s="281" t="s">
        <v>223</v>
      </c>
      <c r="M24" s="474">
        <v>17.7</v>
      </c>
      <c r="N24" s="115">
        <f>L18*0.14</f>
        <v>721.16800000000012</v>
      </c>
      <c r="O24" s="282"/>
      <c r="P24" s="279"/>
      <c r="Q24" s="310"/>
      <c r="R24" s="246"/>
      <c r="S24" s="238"/>
    </row>
    <row r="25" spans="1:19" s="48" customFormat="1" ht="22.5" x14ac:dyDescent="0.3">
      <c r="A25" s="84">
        <v>5</v>
      </c>
      <c r="B25" s="73" t="s">
        <v>227</v>
      </c>
      <c r="C25" s="112">
        <v>6.91</v>
      </c>
      <c r="D25" s="115">
        <f>B18*0.11</f>
        <v>566.63200000000006</v>
      </c>
      <c r="E25" s="126"/>
      <c r="F25" s="84">
        <v>5</v>
      </c>
      <c r="G25" s="73" t="s">
        <v>223</v>
      </c>
      <c r="H25" s="112">
        <v>11.56</v>
      </c>
      <c r="I25" s="115">
        <f>G18*0.09</f>
        <v>231.80400000000003</v>
      </c>
      <c r="J25" s="280"/>
      <c r="K25" s="101">
        <v>5</v>
      </c>
      <c r="L25" s="281" t="s">
        <v>225</v>
      </c>
      <c r="M25" s="474">
        <v>18.34</v>
      </c>
      <c r="N25" s="115">
        <f>L18*0.11</f>
        <v>566.63200000000006</v>
      </c>
      <c r="O25" s="282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73" t="s">
        <v>228</v>
      </c>
      <c r="C26" s="112">
        <v>7.77</v>
      </c>
      <c r="D26" s="115">
        <f>B18*0.08</f>
        <v>412.09600000000006</v>
      </c>
      <c r="E26" s="128"/>
      <c r="F26" s="84">
        <v>6</v>
      </c>
      <c r="G26" s="73" t="s">
        <v>225</v>
      </c>
      <c r="H26" s="112">
        <v>11.62</v>
      </c>
      <c r="I26" s="115">
        <f>G18*0.05</f>
        <v>128.78000000000003</v>
      </c>
      <c r="J26" s="280"/>
      <c r="K26" s="101">
        <v>6</v>
      </c>
      <c r="L26" s="281" t="s">
        <v>226</v>
      </c>
      <c r="M26" s="474">
        <v>19.02</v>
      </c>
      <c r="N26" s="115">
        <f>L18*0.08</f>
        <v>412.09600000000006</v>
      </c>
      <c r="O26" s="282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73" t="s">
        <v>229</v>
      </c>
      <c r="C27" s="112">
        <v>8.0399999999999991</v>
      </c>
      <c r="D27" s="115">
        <f>B18*0.05</f>
        <v>257.56000000000006</v>
      </c>
      <c r="E27" s="113"/>
      <c r="F27" s="84">
        <v>7</v>
      </c>
      <c r="G27" s="84"/>
      <c r="H27" s="127"/>
      <c r="I27" s="223"/>
      <c r="J27" s="280"/>
      <c r="K27" s="101">
        <v>7</v>
      </c>
      <c r="L27" s="281" t="s">
        <v>253</v>
      </c>
      <c r="M27" s="474">
        <v>19.98</v>
      </c>
      <c r="N27" s="115">
        <f>L18*0.05</f>
        <v>257.56000000000006</v>
      </c>
      <c r="O27" s="28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73" t="s">
        <v>230</v>
      </c>
      <c r="C28" s="112">
        <v>8.26</v>
      </c>
      <c r="D28" s="115">
        <f>B18*0.02</f>
        <v>103.02400000000002</v>
      </c>
      <c r="E28" s="100"/>
      <c r="F28" s="84">
        <v>8</v>
      </c>
      <c r="G28" s="84"/>
      <c r="H28" s="127"/>
      <c r="I28" s="223"/>
      <c r="J28" s="280"/>
      <c r="K28" s="101">
        <v>8</v>
      </c>
      <c r="L28" s="274" t="s">
        <v>224</v>
      </c>
      <c r="M28" s="475">
        <v>6.54</v>
      </c>
      <c r="N28" s="115">
        <f>L18*0.02</f>
        <v>103.02400000000002</v>
      </c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73"/>
      <c r="D29" s="115"/>
      <c r="E29" s="100"/>
      <c r="F29" s="84">
        <v>9</v>
      </c>
      <c r="G29" s="118"/>
      <c r="H29" s="129"/>
      <c r="I29" s="224"/>
      <c r="J29" s="280"/>
      <c r="K29" s="101">
        <v>9</v>
      </c>
      <c r="L29" s="274"/>
      <c r="M29" s="274"/>
      <c r="N29" s="223"/>
      <c r="O29" s="282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73"/>
      <c r="D30" s="221"/>
      <c r="E30" s="100"/>
      <c r="F30" s="84">
        <v>10</v>
      </c>
      <c r="G30" s="118"/>
      <c r="H30" s="129"/>
      <c r="I30" s="224"/>
      <c r="J30" s="280"/>
      <c r="K30" s="101">
        <v>10</v>
      </c>
      <c r="L30" s="283"/>
      <c r="M30" s="283"/>
      <c r="N30" s="224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130"/>
      <c r="E31" s="100"/>
      <c r="F31" s="84">
        <v>11</v>
      </c>
      <c r="G31" s="117"/>
      <c r="H31" s="117"/>
      <c r="I31" s="224"/>
      <c r="J31" s="280"/>
      <c r="K31" s="101">
        <v>11</v>
      </c>
      <c r="L31" s="283"/>
      <c r="M31" s="283"/>
      <c r="N31" s="224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20" ht="15.75" x14ac:dyDescent="0.25">
      <c r="C33" s="30"/>
      <c r="D33" s="49">
        <f>SUM(D21:D32)</f>
        <v>5151.2000000000016</v>
      </c>
      <c r="F33" s="31"/>
      <c r="I33" s="271">
        <f>SUM(I21:I32)</f>
        <v>2575.6000000000008</v>
      </c>
      <c r="J33" s="271"/>
      <c r="K33" s="271"/>
      <c r="L33" s="271"/>
      <c r="M33" s="271"/>
      <c r="N33" s="271">
        <f>SUM(N21:N32)</f>
        <v>5151.2000000000016</v>
      </c>
      <c r="O33" s="271"/>
      <c r="P33" s="271">
        <f>SUM(D33:O33)</f>
        <v>12878.000000000004</v>
      </c>
      <c r="Q33" s="248"/>
      <c r="R33" s="244"/>
      <c r="S33" s="238"/>
    </row>
    <row r="34" spans="1:20" s="87" customFormat="1" ht="12.75" customHeight="1" x14ac:dyDescent="0.2">
      <c r="C34" s="52"/>
      <c r="D34" s="51"/>
      <c r="I34" s="271"/>
      <c r="J34" s="271"/>
      <c r="K34" s="271"/>
      <c r="L34" s="271"/>
      <c r="M34" s="271"/>
      <c r="N34" s="271"/>
      <c r="O34" s="271"/>
      <c r="P34" s="284"/>
      <c r="Q34" s="311"/>
      <c r="R34" s="239"/>
      <c r="S34" s="238"/>
      <c r="T34" s="53"/>
    </row>
    <row r="35" spans="1:20" s="87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311"/>
      <c r="R35" s="239"/>
      <c r="S35" s="238"/>
    </row>
    <row r="36" spans="1:20" s="87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311"/>
      <c r="R36" s="247"/>
      <c r="S36" s="238"/>
    </row>
    <row r="37" spans="1:20" s="87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311"/>
      <c r="R37" s="247"/>
      <c r="S37" s="238"/>
    </row>
    <row r="38" spans="1:20" s="87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311"/>
      <c r="R38" s="247"/>
      <c r="S38" s="238"/>
    </row>
    <row r="39" spans="1:20" s="87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311"/>
      <c r="R39" s="247"/>
      <c r="S39" s="238"/>
    </row>
    <row r="40" spans="1:20" ht="22.5" x14ac:dyDescent="0.3">
      <c r="A40" s="55"/>
      <c r="B40" s="56"/>
      <c r="I40" s="271"/>
      <c r="J40" s="271"/>
      <c r="K40" s="271"/>
      <c r="L40" s="271"/>
      <c r="M40" s="271"/>
      <c r="N40" s="271"/>
      <c r="O40" s="271"/>
      <c r="P40" s="271"/>
      <c r="Q40" s="310"/>
      <c r="R40" s="244"/>
      <c r="S40" s="238"/>
    </row>
    <row r="41" spans="1:20" ht="22.5" x14ac:dyDescent="0.3">
      <c r="A41" s="55"/>
      <c r="B41" s="56"/>
      <c r="I41" s="271"/>
      <c r="J41" s="271"/>
      <c r="K41" s="271"/>
      <c r="L41" s="271"/>
      <c r="M41" s="271"/>
      <c r="N41" s="271"/>
      <c r="O41" s="271"/>
      <c r="P41" s="271"/>
      <c r="Q41" s="310"/>
      <c r="R41" s="244"/>
      <c r="S41" s="238"/>
    </row>
    <row r="42" spans="1:20" ht="22.5" x14ac:dyDescent="0.3">
      <c r="A42" s="56"/>
      <c r="B42" s="56"/>
      <c r="I42" s="271"/>
      <c r="J42" s="271"/>
      <c r="K42" s="271"/>
      <c r="L42" s="271"/>
      <c r="M42" s="271"/>
      <c r="N42" s="271"/>
      <c r="O42" s="271"/>
      <c r="P42" s="271"/>
      <c r="Q42" s="310"/>
      <c r="R42" s="244"/>
      <c r="S42" s="238"/>
    </row>
    <row r="43" spans="1:20" ht="22.5" x14ac:dyDescent="0.3">
      <c r="A43" s="55"/>
      <c r="B43" s="56"/>
      <c r="I43" s="271"/>
      <c r="J43" s="271"/>
      <c r="K43" s="271"/>
      <c r="L43" s="271"/>
      <c r="M43" s="271"/>
      <c r="N43" s="271"/>
      <c r="O43" s="271"/>
      <c r="P43" s="271"/>
      <c r="Q43" s="310"/>
      <c r="R43" s="244"/>
      <c r="S43" s="238"/>
    </row>
    <row r="44" spans="1:20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20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20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20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20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2" orientation="landscape" r:id="rId1"/>
  <headerFooter scaleWithDoc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1"/>
  <sheetViews>
    <sheetView view="pageBreakPreview" zoomScaleNormal="100" zoomScaleSheetLayoutView="100" workbookViewId="0">
      <selection sqref="A1:O30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57" customWidth="1"/>
    <col min="4" max="4" width="14.42578125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.28515625" style="30" bestFit="1" customWidth="1"/>
    <col min="15" max="15" width="9.5703125" style="30" customWidth="1"/>
    <col min="16" max="16" width="15.7109375" style="58" bestFit="1" customWidth="1"/>
    <col min="17" max="17" width="9.140625" style="58"/>
    <col min="18" max="18" width="9.140625" style="57"/>
    <col min="19" max="21" width="9.140625" style="30"/>
    <col min="22" max="22" width="11.140625" style="30" bestFit="1" customWidth="1"/>
    <col min="23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C2" s="30"/>
      <c r="K2" s="78"/>
      <c r="N2" s="81"/>
      <c r="P2" s="30"/>
    </row>
    <row r="3" spans="1:19" ht="25.5" x14ac:dyDescent="0.35">
      <c r="A3" s="523" t="s">
        <v>0</v>
      </c>
      <c r="B3" s="513"/>
      <c r="C3" s="35" t="s">
        <v>44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  <c r="P3" s="30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  <c r="P4" s="30"/>
    </row>
    <row r="5" spans="1:19" ht="16.5" thickBot="1" x14ac:dyDescent="0.3">
      <c r="A5" s="513" t="s">
        <v>1</v>
      </c>
      <c r="B5" s="514"/>
      <c r="C5" s="37">
        <v>87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  <c r="P5" s="30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8700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85"/>
      <c r="B7" s="85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85"/>
      <c r="B9" s="86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13700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85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822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85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12878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85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85"/>
      <c r="B16" s="85"/>
      <c r="C16" s="85"/>
      <c r="D16" s="85"/>
      <c r="E16" s="85"/>
      <c r="F16" s="85"/>
      <c r="G16" s="85"/>
      <c r="H16" s="85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5151.2000000000007</v>
      </c>
      <c r="G18" s="47">
        <f>E14*0.2</f>
        <v>2575.6000000000004</v>
      </c>
      <c r="I18" s="255"/>
      <c r="J18" s="255"/>
      <c r="K18" s="255"/>
      <c r="L18" s="255">
        <f>E14*0.4</f>
        <v>5151.2000000000007</v>
      </c>
      <c r="M18" s="255"/>
      <c r="N18" s="255"/>
      <c r="O18" s="255"/>
      <c r="P18" s="255">
        <f>SUM(A18:M18)</f>
        <v>12878.000000000002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/>
      <c r="H20" s="33" t="s">
        <v>252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4" x14ac:dyDescent="0.3">
      <c r="A21" s="93">
        <v>1</v>
      </c>
      <c r="B21" s="483" t="s">
        <v>223</v>
      </c>
      <c r="C21" s="472">
        <v>6.14</v>
      </c>
      <c r="D21" s="220">
        <f>B18*0.23</f>
        <v>1184.7760000000003</v>
      </c>
      <c r="E21" s="97"/>
      <c r="F21" s="93">
        <v>1</v>
      </c>
      <c r="G21" s="71" t="s">
        <v>227</v>
      </c>
      <c r="H21" s="110">
        <v>6.84</v>
      </c>
      <c r="I21" s="220">
        <f>G18*0.29</f>
        <v>746.92400000000009</v>
      </c>
      <c r="J21" s="276"/>
      <c r="K21" s="312">
        <v>1</v>
      </c>
      <c r="L21" s="483" t="s">
        <v>227</v>
      </c>
      <c r="M21" s="483">
        <v>13.75</v>
      </c>
      <c r="N21" s="220">
        <f>L18*0.23</f>
        <v>1184.7760000000003</v>
      </c>
      <c r="O21" s="278"/>
      <c r="P21" s="279"/>
      <c r="Q21" s="310"/>
      <c r="R21" s="246"/>
      <c r="S21" s="238"/>
    </row>
    <row r="22" spans="1:19" s="48" customFormat="1" ht="24" x14ac:dyDescent="0.3">
      <c r="A22" s="84">
        <v>2</v>
      </c>
      <c r="B22" s="483" t="s">
        <v>224</v>
      </c>
      <c r="C22" s="472">
        <v>6.54</v>
      </c>
      <c r="D22" s="115">
        <f>B18*0.2</f>
        <v>1030.2400000000002</v>
      </c>
      <c r="E22" s="100"/>
      <c r="F22" s="84">
        <v>2</v>
      </c>
      <c r="G22" s="73" t="s">
        <v>228</v>
      </c>
      <c r="H22" s="112">
        <v>7.39</v>
      </c>
      <c r="I22" s="115">
        <f>G18*0.24</f>
        <v>618.14400000000012</v>
      </c>
      <c r="J22" s="280"/>
      <c r="K22" s="101">
        <v>2</v>
      </c>
      <c r="L22" s="483" t="s">
        <v>228</v>
      </c>
      <c r="M22" s="483">
        <v>15.16</v>
      </c>
      <c r="N22" s="115">
        <f>L18*0.2</f>
        <v>1030.2400000000002</v>
      </c>
      <c r="O22" s="282"/>
      <c r="P22" s="279"/>
      <c r="Q22" s="310"/>
      <c r="R22" s="246"/>
      <c r="S22" s="238"/>
    </row>
    <row r="23" spans="1:19" s="48" customFormat="1" ht="24" x14ac:dyDescent="0.3">
      <c r="A23" s="84">
        <v>3</v>
      </c>
      <c r="B23" s="483" t="s">
        <v>225</v>
      </c>
      <c r="C23" s="472">
        <v>6.72</v>
      </c>
      <c r="D23" s="115">
        <f>B18*0.17</f>
        <v>875.70400000000018</v>
      </c>
      <c r="E23" s="100"/>
      <c r="F23" s="84">
        <v>3</v>
      </c>
      <c r="G23" s="73" t="s">
        <v>229</v>
      </c>
      <c r="H23" s="112">
        <v>8.74</v>
      </c>
      <c r="I23" s="115">
        <f>G18*0.19</f>
        <v>489.36400000000009</v>
      </c>
      <c r="J23" s="280"/>
      <c r="K23" s="101">
        <v>3</v>
      </c>
      <c r="L23" s="483" t="s">
        <v>229</v>
      </c>
      <c r="M23" s="483">
        <v>16.78</v>
      </c>
      <c r="N23" s="115">
        <f>L18*0.17</f>
        <v>875.70400000000018</v>
      </c>
      <c r="O23" s="282"/>
      <c r="P23" s="279"/>
      <c r="Q23" s="310"/>
      <c r="R23" s="246"/>
      <c r="S23" s="238"/>
    </row>
    <row r="24" spans="1:19" s="48" customFormat="1" ht="24" x14ac:dyDescent="0.3">
      <c r="A24" s="84">
        <v>4</v>
      </c>
      <c r="B24" s="483" t="s">
        <v>226</v>
      </c>
      <c r="C24" s="472">
        <v>6.79</v>
      </c>
      <c r="D24" s="115">
        <f>B18*0.14</f>
        <v>721.16800000000012</v>
      </c>
      <c r="E24" s="100"/>
      <c r="F24" s="84">
        <v>4</v>
      </c>
      <c r="G24" s="73" t="s">
        <v>253</v>
      </c>
      <c r="H24" s="112">
        <v>10.84</v>
      </c>
      <c r="I24" s="115">
        <f>G18*0.14</f>
        <v>360.58400000000006</v>
      </c>
      <c r="J24" s="280"/>
      <c r="K24" s="101">
        <v>4</v>
      </c>
      <c r="L24" s="483" t="s">
        <v>223</v>
      </c>
      <c r="M24" s="483">
        <v>17.7</v>
      </c>
      <c r="N24" s="115">
        <f>L18*0.14</f>
        <v>721.16800000000012</v>
      </c>
      <c r="O24" s="282"/>
      <c r="P24" s="279"/>
      <c r="Q24" s="310"/>
      <c r="R24" s="246"/>
      <c r="S24" s="238"/>
    </row>
    <row r="25" spans="1:19" s="48" customFormat="1" ht="24" x14ac:dyDescent="0.3">
      <c r="A25" s="84">
        <v>5</v>
      </c>
      <c r="B25" s="483" t="s">
        <v>227</v>
      </c>
      <c r="C25" s="472">
        <v>6.91</v>
      </c>
      <c r="D25" s="115">
        <f>B18*0.11</f>
        <v>566.63200000000006</v>
      </c>
      <c r="E25" s="126"/>
      <c r="F25" s="84">
        <v>5</v>
      </c>
      <c r="G25" s="73" t="s">
        <v>223</v>
      </c>
      <c r="H25" s="112">
        <v>11.56</v>
      </c>
      <c r="I25" s="115">
        <f>G18*0.09</f>
        <v>231.80400000000003</v>
      </c>
      <c r="J25" s="280"/>
      <c r="K25" s="101">
        <v>5</v>
      </c>
      <c r="L25" s="483" t="s">
        <v>225</v>
      </c>
      <c r="M25" s="483">
        <v>18.34</v>
      </c>
      <c r="N25" s="115">
        <f>L18*0.11</f>
        <v>566.63200000000006</v>
      </c>
      <c r="O25" s="282"/>
      <c r="P25" s="279"/>
      <c r="Q25" s="310"/>
      <c r="R25" s="246"/>
      <c r="S25" s="238"/>
    </row>
    <row r="26" spans="1:19" s="48" customFormat="1" ht="24" x14ac:dyDescent="0.3">
      <c r="A26" s="84">
        <v>6</v>
      </c>
      <c r="B26" s="483" t="s">
        <v>228</v>
      </c>
      <c r="C26" s="472">
        <v>7.77</v>
      </c>
      <c r="D26" s="115">
        <f>B18*0.08</f>
        <v>412.09600000000006</v>
      </c>
      <c r="E26" s="128"/>
      <c r="F26" s="84">
        <v>6</v>
      </c>
      <c r="G26" s="73" t="s">
        <v>225</v>
      </c>
      <c r="H26" s="112">
        <v>11.62</v>
      </c>
      <c r="I26" s="115">
        <f>G18*0.05</f>
        <v>128.78000000000003</v>
      </c>
      <c r="J26" s="280"/>
      <c r="K26" s="101">
        <v>6</v>
      </c>
      <c r="L26" s="483" t="s">
        <v>226</v>
      </c>
      <c r="M26" s="483">
        <v>19.02</v>
      </c>
      <c r="N26" s="115">
        <f>L18*0.08</f>
        <v>412.09600000000006</v>
      </c>
      <c r="O26" s="282"/>
      <c r="P26" s="279"/>
      <c r="Q26" s="310"/>
      <c r="R26" s="246"/>
      <c r="S26" s="238"/>
    </row>
    <row r="27" spans="1:19" s="48" customFormat="1" ht="24" x14ac:dyDescent="0.3">
      <c r="A27" s="84">
        <v>7</v>
      </c>
      <c r="B27" s="483" t="s">
        <v>229</v>
      </c>
      <c r="C27" s="472">
        <v>8.0399999999999991</v>
      </c>
      <c r="D27" s="115">
        <f>B18*0.05</f>
        <v>257.56000000000006</v>
      </c>
      <c r="E27" s="113"/>
      <c r="F27" s="84">
        <v>7</v>
      </c>
      <c r="G27" s="84"/>
      <c r="H27" s="112"/>
      <c r="I27" s="115"/>
      <c r="J27" s="280"/>
      <c r="K27" s="101">
        <v>7</v>
      </c>
      <c r="L27" s="483" t="s">
        <v>253</v>
      </c>
      <c r="M27" s="483">
        <v>19.98</v>
      </c>
      <c r="N27" s="115">
        <f>L18*0.05</f>
        <v>257.56000000000006</v>
      </c>
      <c r="O27" s="282"/>
      <c r="P27" s="279"/>
      <c r="Q27" s="310"/>
      <c r="R27" s="246"/>
      <c r="S27" s="238"/>
    </row>
    <row r="28" spans="1:19" s="48" customFormat="1" ht="24" x14ac:dyDescent="0.3">
      <c r="A28" s="84">
        <v>8</v>
      </c>
      <c r="B28" s="483" t="s">
        <v>230</v>
      </c>
      <c r="C28" s="472">
        <v>8.26</v>
      </c>
      <c r="D28" s="115">
        <f>B18*0.02</f>
        <v>103.02400000000002</v>
      </c>
      <c r="E28" s="100"/>
      <c r="F28" s="84">
        <v>8</v>
      </c>
      <c r="G28" s="84"/>
      <c r="H28" s="127"/>
      <c r="I28" s="223"/>
      <c r="J28" s="280"/>
      <c r="K28" s="101">
        <v>8</v>
      </c>
      <c r="L28" s="483" t="s">
        <v>224</v>
      </c>
      <c r="M28" s="483">
        <v>6.54</v>
      </c>
      <c r="N28" s="115">
        <f>L18*0.02</f>
        <v>103.02400000000002</v>
      </c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73"/>
      <c r="D29" s="115"/>
      <c r="E29" s="100"/>
      <c r="F29" s="84">
        <v>9</v>
      </c>
      <c r="G29" s="118"/>
      <c r="H29" s="129"/>
      <c r="I29" s="224"/>
      <c r="J29" s="280"/>
      <c r="K29" s="101">
        <v>9</v>
      </c>
      <c r="L29" s="274"/>
      <c r="M29" s="475"/>
      <c r="N29" s="223"/>
      <c r="O29" s="282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73"/>
      <c r="D30" s="221"/>
      <c r="E30" s="100"/>
      <c r="F30" s="84">
        <v>10</v>
      </c>
      <c r="G30" s="118"/>
      <c r="H30" s="129"/>
      <c r="I30" s="224"/>
      <c r="J30" s="280"/>
      <c r="K30" s="101">
        <v>10</v>
      </c>
      <c r="L30" s="283"/>
      <c r="M30" s="479"/>
      <c r="N30" s="224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130"/>
      <c r="E31" s="100"/>
      <c r="F31" s="84">
        <v>11</v>
      </c>
      <c r="G31" s="117"/>
      <c r="H31" s="117"/>
      <c r="I31" s="224"/>
      <c r="J31" s="280"/>
      <c r="K31" s="101">
        <v>11</v>
      </c>
      <c r="L31" s="283"/>
      <c r="M31" s="283"/>
      <c r="N31" s="224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20" ht="15.75" x14ac:dyDescent="0.25">
      <c r="C33" s="30"/>
      <c r="D33" s="49">
        <f>SUM(D21:D32)</f>
        <v>5151.2000000000016</v>
      </c>
      <c r="F33" s="31"/>
      <c r="I33" s="271">
        <f>SUM(I21:I32)</f>
        <v>2575.6000000000008</v>
      </c>
      <c r="J33" s="271"/>
      <c r="K33" s="271"/>
      <c r="L33" s="271"/>
      <c r="M33" s="271"/>
      <c r="N33" s="271">
        <f>SUM(N21:N32)</f>
        <v>5151.2000000000016</v>
      </c>
      <c r="O33" s="271"/>
      <c r="P33" s="271">
        <f>SUM(D33:O33)</f>
        <v>12878.000000000004</v>
      </c>
      <c r="Q33" s="248"/>
      <c r="R33" s="244"/>
      <c r="S33" s="238"/>
    </row>
    <row r="34" spans="1:20" s="87" customFormat="1" ht="12.75" customHeight="1" x14ac:dyDescent="0.2">
      <c r="C34" s="52"/>
      <c r="D34" s="51"/>
      <c r="I34" s="271"/>
      <c r="J34" s="271"/>
      <c r="K34" s="271"/>
      <c r="L34" s="271"/>
      <c r="M34" s="271"/>
      <c r="N34" s="271"/>
      <c r="O34" s="271"/>
      <c r="P34" s="284"/>
      <c r="Q34" s="311"/>
      <c r="R34" s="239"/>
      <c r="S34" s="238"/>
      <c r="T34" s="53"/>
    </row>
    <row r="35" spans="1:20" s="87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311"/>
      <c r="R35" s="239"/>
      <c r="S35" s="238"/>
    </row>
    <row r="36" spans="1:20" s="87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311"/>
      <c r="R36" s="247"/>
      <c r="S36" s="238"/>
    </row>
    <row r="37" spans="1:20" s="87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311"/>
      <c r="R37" s="247"/>
      <c r="S37" s="238"/>
    </row>
    <row r="38" spans="1:20" s="87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311"/>
      <c r="R38" s="247"/>
      <c r="S38" s="238"/>
    </row>
    <row r="39" spans="1:20" s="87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311"/>
      <c r="R39" s="247"/>
      <c r="S39" s="238"/>
    </row>
    <row r="40" spans="1:20" ht="22.5" x14ac:dyDescent="0.3">
      <c r="A40" s="55"/>
      <c r="B40" s="56"/>
      <c r="I40" s="271"/>
      <c r="J40" s="271"/>
      <c r="K40" s="271"/>
      <c r="L40" s="271"/>
      <c r="M40" s="271"/>
      <c r="N40" s="271"/>
      <c r="O40" s="271"/>
      <c r="P40" s="271"/>
      <c r="Q40" s="310"/>
      <c r="R40" s="244"/>
      <c r="S40" s="238"/>
    </row>
    <row r="41" spans="1:20" ht="22.5" x14ac:dyDescent="0.3">
      <c r="A41" s="55"/>
      <c r="B41" s="56"/>
      <c r="I41" s="271"/>
      <c r="J41" s="271"/>
      <c r="K41" s="271"/>
      <c r="L41" s="271"/>
      <c r="M41" s="271"/>
      <c r="N41" s="271"/>
      <c r="O41" s="271"/>
      <c r="P41" s="271"/>
      <c r="Q41" s="310"/>
      <c r="R41" s="244"/>
      <c r="S41" s="238"/>
    </row>
    <row r="42" spans="1:20" ht="22.5" x14ac:dyDescent="0.3">
      <c r="A42" s="56"/>
      <c r="B42" s="56"/>
      <c r="I42" s="271"/>
      <c r="J42" s="271"/>
      <c r="K42" s="271"/>
      <c r="L42" s="271"/>
      <c r="M42" s="271"/>
      <c r="N42" s="271"/>
      <c r="O42" s="271"/>
      <c r="P42" s="271"/>
      <c r="Q42" s="310"/>
      <c r="R42" s="244"/>
      <c r="S42" s="238"/>
    </row>
    <row r="43" spans="1:20" ht="22.5" x14ac:dyDescent="0.3">
      <c r="A43" s="55"/>
      <c r="B43" s="56"/>
      <c r="I43" s="271"/>
      <c r="J43" s="271"/>
      <c r="K43" s="271"/>
      <c r="L43" s="271"/>
      <c r="M43" s="271"/>
      <c r="N43" s="271"/>
      <c r="O43" s="271"/>
      <c r="P43" s="271"/>
      <c r="Q43" s="310"/>
      <c r="R43" s="244"/>
      <c r="S43" s="238"/>
    </row>
    <row r="44" spans="1:20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20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20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20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20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view="pageBreakPreview" topLeftCell="A4" zoomScaleNormal="100" zoomScaleSheetLayoutView="100" workbookViewId="0">
      <selection activeCell="I21" sqref="I21:I22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3.85546875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" style="30" bestFit="1" customWidth="1"/>
    <col min="15" max="15" width="9.5703125" style="30" customWidth="1"/>
    <col min="16" max="16" width="13.1406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17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10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1000</v>
      </c>
      <c r="F6" s="516"/>
      <c r="G6" s="31"/>
      <c r="H6" s="31"/>
      <c r="I6" s="268"/>
      <c r="J6" s="268"/>
      <c r="K6" s="269"/>
      <c r="L6" s="483" t="s">
        <v>231</v>
      </c>
      <c r="M6" s="268"/>
      <c r="N6" s="269"/>
      <c r="O6" s="270"/>
      <c r="P6" s="271"/>
      <c r="Q6" s="248"/>
      <c r="R6" s="244"/>
      <c r="S6" s="238"/>
    </row>
    <row r="7" spans="1:19" ht="24.75" thickBot="1" x14ac:dyDescent="0.3">
      <c r="A7" s="39"/>
      <c r="B7" s="39"/>
      <c r="C7" s="40">
        <f>A2*0.3</f>
        <v>0</v>
      </c>
      <c r="D7" s="32"/>
      <c r="E7" s="41"/>
      <c r="F7" s="42"/>
      <c r="G7" s="31"/>
      <c r="H7" s="31"/>
      <c r="I7" s="268"/>
      <c r="J7" s="268"/>
      <c r="K7" s="269"/>
      <c r="L7" s="483" t="s">
        <v>232</v>
      </c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483" t="s">
        <v>233</v>
      </c>
      <c r="M8" s="268"/>
      <c r="N8" s="269"/>
      <c r="O8" s="270"/>
      <c r="P8" s="271"/>
      <c r="Q8" s="248"/>
      <c r="R8" s="244"/>
      <c r="S8" s="238"/>
    </row>
    <row r="9" spans="1:19" ht="24.7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483" t="s">
        <v>234</v>
      </c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6000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360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5640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2256</v>
      </c>
      <c r="G18" s="47">
        <f>E14*0.2</f>
        <v>1128</v>
      </c>
      <c r="I18" s="255"/>
      <c r="J18" s="255"/>
      <c r="K18" s="255"/>
      <c r="L18" s="255">
        <f>E14*0.4</f>
        <v>2256</v>
      </c>
      <c r="M18" s="255"/>
      <c r="N18" s="255"/>
      <c r="O18" s="255"/>
      <c r="P18" s="255">
        <f>SUM(A18:M18)</f>
        <v>5640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38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38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38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2.5" x14ac:dyDescent="0.3">
      <c r="A21" s="93">
        <v>1</v>
      </c>
      <c r="B21" s="483" t="s">
        <v>231</v>
      </c>
      <c r="C21" s="74">
        <v>80</v>
      </c>
      <c r="D21" s="220">
        <f>B18*0.29</f>
        <v>654.24</v>
      </c>
      <c r="E21" s="97"/>
      <c r="F21" s="123">
        <v>1</v>
      </c>
      <c r="G21" s="71" t="s">
        <v>231</v>
      </c>
      <c r="H21" s="72">
        <v>71</v>
      </c>
      <c r="I21" s="220">
        <f>G18*0.4</f>
        <v>451.20000000000005</v>
      </c>
      <c r="J21" s="291"/>
      <c r="K21" s="312">
        <v>1</v>
      </c>
      <c r="L21" s="483" t="s">
        <v>231</v>
      </c>
      <c r="M21" s="95">
        <v>151</v>
      </c>
      <c r="N21" s="220">
        <f>L18*0.29</f>
        <v>654.24</v>
      </c>
      <c r="O21" s="291"/>
      <c r="P21" s="279"/>
      <c r="Q21" s="310"/>
      <c r="R21" s="246"/>
      <c r="S21" s="238"/>
    </row>
    <row r="22" spans="1:19" s="48" customFormat="1" ht="24" x14ac:dyDescent="0.3">
      <c r="A22" s="84">
        <v>2</v>
      </c>
      <c r="B22" s="483" t="s">
        <v>232</v>
      </c>
      <c r="C22" s="68">
        <v>71</v>
      </c>
      <c r="D22" s="115">
        <f>B18*0.24</f>
        <v>541.43999999999994</v>
      </c>
      <c r="E22" s="100"/>
      <c r="F22" s="124">
        <v>2</v>
      </c>
      <c r="G22" s="73" t="s">
        <v>232</v>
      </c>
      <c r="H22" s="74">
        <v>63</v>
      </c>
      <c r="I22" s="115">
        <f>G18*0.3</f>
        <v>338.4</v>
      </c>
      <c r="J22" s="292"/>
      <c r="K22" s="101">
        <v>2</v>
      </c>
      <c r="L22" s="483" t="s">
        <v>232</v>
      </c>
      <c r="M22" s="490">
        <v>134</v>
      </c>
      <c r="N22" s="115">
        <f>L18*0.24</f>
        <v>541.43999999999994</v>
      </c>
      <c r="O22" s="292"/>
      <c r="P22" s="279"/>
      <c r="Q22" s="310"/>
      <c r="R22" s="246"/>
      <c r="S22" s="238"/>
    </row>
    <row r="23" spans="1:19" s="48" customFormat="1" ht="22.5" x14ac:dyDescent="0.3">
      <c r="A23" s="84">
        <v>3</v>
      </c>
      <c r="B23" s="483" t="s">
        <v>233</v>
      </c>
      <c r="C23" s="68">
        <v>62</v>
      </c>
      <c r="D23" s="115">
        <f>B18*0.19</f>
        <v>428.64</v>
      </c>
      <c r="E23" s="100"/>
      <c r="F23" s="84">
        <v>3</v>
      </c>
      <c r="G23" s="73"/>
      <c r="H23" s="121"/>
      <c r="I23" s="115">
        <f>G18*0.2</f>
        <v>225.60000000000002</v>
      </c>
      <c r="J23" s="292"/>
      <c r="K23" s="101">
        <v>3</v>
      </c>
      <c r="L23" s="483" t="s">
        <v>233</v>
      </c>
      <c r="M23" s="490">
        <v>62</v>
      </c>
      <c r="N23" s="115">
        <f>L18*0.19</f>
        <v>428.64</v>
      </c>
      <c r="O23" s="292"/>
      <c r="P23" s="279"/>
      <c r="Q23" s="310"/>
      <c r="R23" s="246"/>
      <c r="S23" s="238"/>
    </row>
    <row r="24" spans="1:19" s="48" customFormat="1" ht="24" x14ac:dyDescent="0.3">
      <c r="A24" s="84">
        <v>4</v>
      </c>
      <c r="B24" s="483" t="s">
        <v>234</v>
      </c>
      <c r="C24" s="68">
        <v>56</v>
      </c>
      <c r="D24" s="115">
        <f>B18*0.14</f>
        <v>315.84000000000003</v>
      </c>
      <c r="E24" s="100"/>
      <c r="F24" s="84">
        <v>4</v>
      </c>
      <c r="G24" s="73"/>
      <c r="H24" s="121"/>
      <c r="I24" s="115">
        <f>G18*0.1</f>
        <v>112.80000000000001</v>
      </c>
      <c r="J24" s="292"/>
      <c r="K24" s="101">
        <v>4</v>
      </c>
      <c r="L24" s="483" t="s">
        <v>234</v>
      </c>
      <c r="M24" s="490">
        <v>56</v>
      </c>
      <c r="N24" s="115">
        <f>L18*0.14</f>
        <v>315.84000000000003</v>
      </c>
      <c r="O24" s="292"/>
      <c r="P24" s="279"/>
      <c r="Q24" s="310"/>
      <c r="R24" s="246"/>
      <c r="S24" s="238"/>
    </row>
    <row r="25" spans="1:19" s="48" customFormat="1" ht="22.5" x14ac:dyDescent="0.3">
      <c r="A25" s="84">
        <v>5</v>
      </c>
      <c r="B25" s="59"/>
      <c r="C25" s="74"/>
      <c r="D25" s="115" t="s">
        <v>217</v>
      </c>
      <c r="E25" s="100"/>
      <c r="F25" s="84">
        <v>5</v>
      </c>
      <c r="G25" s="73"/>
      <c r="H25" s="121"/>
      <c r="I25" s="115"/>
      <c r="J25" s="292"/>
      <c r="K25" s="101">
        <v>5</v>
      </c>
      <c r="L25" s="281"/>
      <c r="M25" s="281"/>
      <c r="N25" s="115" t="s">
        <v>217</v>
      </c>
      <c r="O25" s="292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59"/>
      <c r="C26" s="121"/>
      <c r="D26" s="115" t="s">
        <v>217</v>
      </c>
      <c r="E26" s="100"/>
      <c r="F26" s="84">
        <v>6</v>
      </c>
      <c r="G26" s="73"/>
      <c r="H26" s="121"/>
      <c r="I26" s="115"/>
      <c r="J26" s="292"/>
      <c r="K26" s="101">
        <v>6</v>
      </c>
      <c r="L26" s="281"/>
      <c r="M26" s="281"/>
      <c r="N26" s="115" t="s">
        <v>217</v>
      </c>
      <c r="O26" s="292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73"/>
      <c r="C27" s="121"/>
      <c r="D27" s="115"/>
      <c r="E27" s="100"/>
      <c r="F27" s="84">
        <v>7</v>
      </c>
      <c r="G27" s="73"/>
      <c r="H27" s="121"/>
      <c r="I27" s="115"/>
      <c r="J27" s="292"/>
      <c r="K27" s="101">
        <v>7</v>
      </c>
      <c r="L27" s="281"/>
      <c r="M27" s="281"/>
      <c r="N27" s="115"/>
      <c r="O27" s="29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73"/>
      <c r="C28" s="121"/>
      <c r="D28" s="115"/>
      <c r="E28" s="100"/>
      <c r="F28" s="84">
        <v>8</v>
      </c>
      <c r="G28" s="118"/>
      <c r="H28" s="125"/>
      <c r="I28" s="224"/>
      <c r="J28" s="280"/>
      <c r="K28" s="101">
        <v>8</v>
      </c>
      <c r="L28" s="281"/>
      <c r="M28" s="281"/>
      <c r="N28" s="115"/>
      <c r="O28" s="29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121"/>
      <c r="D29" s="115"/>
      <c r="E29" s="100"/>
      <c r="F29" s="84">
        <v>9</v>
      </c>
      <c r="G29" s="118"/>
      <c r="H29" s="125"/>
      <c r="I29" s="224"/>
      <c r="J29" s="280"/>
      <c r="K29" s="101">
        <v>9</v>
      </c>
      <c r="L29" s="73"/>
      <c r="M29" s="293"/>
      <c r="N29" s="224"/>
      <c r="O29" s="280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121"/>
      <c r="D30" s="221"/>
      <c r="E30" s="100"/>
      <c r="F30" s="84">
        <v>10</v>
      </c>
      <c r="G30" s="118"/>
      <c r="H30" s="125"/>
      <c r="I30" s="224"/>
      <c r="J30" s="280"/>
      <c r="K30" s="101">
        <v>10</v>
      </c>
      <c r="L30" s="73"/>
      <c r="M30" s="293"/>
      <c r="N30" s="224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77"/>
      <c r="E31" s="100"/>
      <c r="F31" s="84">
        <v>11</v>
      </c>
      <c r="G31" s="117"/>
      <c r="H31" s="117"/>
      <c r="I31" s="224"/>
      <c r="J31" s="280"/>
      <c r="K31" s="101">
        <v>11</v>
      </c>
      <c r="L31" s="283"/>
      <c r="M31" s="283"/>
      <c r="N31" s="224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19" ht="15.75" x14ac:dyDescent="0.25">
      <c r="D33" s="49">
        <f>SUM(D21:D32)</f>
        <v>1940.1599999999999</v>
      </c>
      <c r="F33" s="31"/>
      <c r="I33" s="271">
        <f>SUM(I21:I32)</f>
        <v>1128</v>
      </c>
      <c r="J33" s="271"/>
      <c r="K33" s="271"/>
      <c r="L33" s="271"/>
      <c r="M33" s="271"/>
      <c r="N33" s="271">
        <f>SUM(N21:N32)</f>
        <v>1940.1599999999999</v>
      </c>
      <c r="O33" s="271"/>
      <c r="P33" s="271">
        <f>SUM(A33:N33)</f>
        <v>5008.32</v>
      </c>
      <c r="Q33" s="248"/>
      <c r="R33" s="244"/>
      <c r="S33" s="238"/>
    </row>
    <row r="34" spans="1:19" s="50" customFormat="1" ht="12.75" customHeight="1" x14ac:dyDescent="0.2">
      <c r="A34" s="511"/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512"/>
      <c r="M34" s="512"/>
      <c r="N34" s="512"/>
      <c r="O34" s="512"/>
      <c r="P34" s="290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90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90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90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2:19" x14ac:dyDescent="0.2">
      <c r="B49" s="58">
        <f>999*0.4</f>
        <v>399.6</v>
      </c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2:19" x14ac:dyDescent="0.2">
      <c r="B50" s="58">
        <f>999*0.3</f>
        <v>299.7</v>
      </c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2:19" x14ac:dyDescent="0.2">
      <c r="B51" s="58">
        <f>999*0.2</f>
        <v>199.8</v>
      </c>
      <c r="C51" s="30">
        <v>150</v>
      </c>
      <c r="I51" s="272"/>
      <c r="J51" s="272"/>
      <c r="K51" s="272"/>
      <c r="L51" s="272"/>
      <c r="M51" s="272"/>
      <c r="N51" s="272"/>
      <c r="O51" s="272"/>
      <c r="P51" s="272"/>
      <c r="Q51" s="248"/>
    </row>
    <row r="52" spans="2:19" x14ac:dyDescent="0.2">
      <c r="B52" s="58">
        <f>999*0.1</f>
        <v>99.9</v>
      </c>
    </row>
  </sheetData>
  <mergeCells count="20">
    <mergeCell ref="A1:B1"/>
    <mergeCell ref="C1:I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view="pageBreakPreview" zoomScaleNormal="100" zoomScaleSheetLayoutView="100" workbookViewId="0">
      <selection sqref="A1:O27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3.85546875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" style="30" bestFit="1" customWidth="1"/>
    <col min="15" max="15" width="9.5703125" style="30" customWidth="1"/>
    <col min="16" max="16" width="13.1406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34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50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5000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39"/>
      <c r="B7" s="39"/>
      <c r="C7" s="40">
        <f>A2*0.3</f>
        <v>0</v>
      </c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10000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600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9400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3760</v>
      </c>
      <c r="G18" s="47">
        <f>E14*0.2</f>
        <v>1880</v>
      </c>
      <c r="I18" s="255"/>
      <c r="J18" s="255"/>
      <c r="K18" s="255"/>
      <c r="L18" s="255">
        <f>E14*0.4</f>
        <v>3760</v>
      </c>
      <c r="M18" s="255"/>
      <c r="N18" s="255"/>
      <c r="O18" s="255"/>
      <c r="P18" s="255">
        <f>SUM(A18:M18)</f>
        <v>9400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12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4" x14ac:dyDescent="0.3">
      <c r="A21" s="93">
        <v>1</v>
      </c>
      <c r="B21" s="483" t="s">
        <v>245</v>
      </c>
      <c r="C21" s="472">
        <v>16.361000000000001</v>
      </c>
      <c r="D21" s="220">
        <f>B18*0.29</f>
        <v>1090.3999999999999</v>
      </c>
      <c r="E21" s="120"/>
      <c r="F21" s="93">
        <v>1</v>
      </c>
      <c r="G21" s="71" t="s">
        <v>245</v>
      </c>
      <c r="H21" s="119">
        <v>16.163</v>
      </c>
      <c r="I21" s="220">
        <f>G18*0.4</f>
        <v>752</v>
      </c>
      <c r="J21" s="278"/>
      <c r="K21" s="312">
        <v>1</v>
      </c>
      <c r="L21" s="277" t="s">
        <v>245</v>
      </c>
      <c r="M21" s="480">
        <v>32.524000000000001</v>
      </c>
      <c r="N21" s="220">
        <f>L18*0.29</f>
        <v>1090.3999999999999</v>
      </c>
      <c r="O21" s="278"/>
      <c r="P21" s="279"/>
      <c r="Q21" s="310"/>
      <c r="R21" s="246"/>
      <c r="S21" s="238"/>
    </row>
    <row r="22" spans="1:19" s="48" customFormat="1" ht="24" x14ac:dyDescent="0.3">
      <c r="A22" s="84">
        <f>A21+1</f>
        <v>2</v>
      </c>
      <c r="B22" s="483" t="s">
        <v>246</v>
      </c>
      <c r="C22" s="472">
        <v>16.510000000000002</v>
      </c>
      <c r="D22" s="115">
        <f>B18*0.24</f>
        <v>902.4</v>
      </c>
      <c r="E22" s="120"/>
      <c r="F22" s="84">
        <v>2</v>
      </c>
      <c r="G22" s="73" t="s">
        <v>249</v>
      </c>
      <c r="H22" s="121">
        <v>16.329999999999998</v>
      </c>
      <c r="I22" s="115">
        <f>G18*0.3</f>
        <v>564</v>
      </c>
      <c r="J22" s="282"/>
      <c r="K22" s="101">
        <v>2</v>
      </c>
      <c r="L22" s="281" t="s">
        <v>249</v>
      </c>
      <c r="M22" s="481">
        <v>33.072999999999993</v>
      </c>
      <c r="N22" s="115">
        <f>L18*0.24</f>
        <v>902.4</v>
      </c>
      <c r="O22" s="282"/>
      <c r="P22" s="279"/>
      <c r="Q22" s="310"/>
      <c r="R22" s="246"/>
      <c r="S22" s="238"/>
    </row>
    <row r="23" spans="1:19" s="48" customFormat="1" ht="24" x14ac:dyDescent="0.3">
      <c r="A23" s="84">
        <f t="shared" ref="A23:A32" si="0">A22+1</f>
        <v>3</v>
      </c>
      <c r="B23" s="483" t="s">
        <v>247</v>
      </c>
      <c r="C23" s="472">
        <v>16.567</v>
      </c>
      <c r="D23" s="115">
        <f>B18*0.19</f>
        <v>714.4</v>
      </c>
      <c r="E23" s="120"/>
      <c r="F23" s="84">
        <v>3</v>
      </c>
      <c r="G23" s="73" t="s">
        <v>255</v>
      </c>
      <c r="H23" s="121">
        <v>16.510000000000002</v>
      </c>
      <c r="I23" s="115">
        <f>G18*0.2</f>
        <v>376</v>
      </c>
      <c r="J23" s="282"/>
      <c r="K23" s="101">
        <v>3</v>
      </c>
      <c r="L23" s="281" t="s">
        <v>247</v>
      </c>
      <c r="M23" s="481">
        <v>33.156999999999996</v>
      </c>
      <c r="N23" s="115">
        <f>L18*0.19</f>
        <v>714.4</v>
      </c>
      <c r="O23" s="282"/>
      <c r="P23" s="279"/>
      <c r="Q23" s="310"/>
      <c r="R23" s="246"/>
      <c r="S23" s="238"/>
    </row>
    <row r="24" spans="1:19" s="48" customFormat="1" ht="24" x14ac:dyDescent="0.3">
      <c r="A24" s="84">
        <f t="shared" si="0"/>
        <v>4</v>
      </c>
      <c r="B24" s="483" t="s">
        <v>248</v>
      </c>
      <c r="C24" s="472">
        <v>16.582000000000001</v>
      </c>
      <c r="D24" s="115">
        <f>B18*0.14</f>
        <v>526.40000000000009</v>
      </c>
      <c r="E24" s="120"/>
      <c r="F24" s="84">
        <v>4</v>
      </c>
      <c r="G24" s="73" t="s">
        <v>247</v>
      </c>
      <c r="H24" s="121">
        <v>16.59</v>
      </c>
      <c r="I24" s="115">
        <f>G18*0.1</f>
        <v>188</v>
      </c>
      <c r="J24" s="282"/>
      <c r="K24" s="101">
        <v>4</v>
      </c>
      <c r="L24" s="281" t="s">
        <v>248</v>
      </c>
      <c r="M24" s="481">
        <v>33.201999999999998</v>
      </c>
      <c r="N24" s="115">
        <f>L18*0.14</f>
        <v>526.40000000000009</v>
      </c>
      <c r="O24" s="282"/>
      <c r="P24" s="279"/>
      <c r="Q24" s="310"/>
      <c r="R24" s="246"/>
      <c r="S24" s="238"/>
    </row>
    <row r="25" spans="1:19" s="48" customFormat="1" ht="22.5" x14ac:dyDescent="0.3">
      <c r="A25" s="84">
        <f t="shared" si="0"/>
        <v>5</v>
      </c>
      <c r="B25" s="483" t="s">
        <v>249</v>
      </c>
      <c r="C25" s="472">
        <v>16.742999999999999</v>
      </c>
      <c r="D25" s="115">
        <f>B18*0.09</f>
        <v>338.4</v>
      </c>
      <c r="E25" s="91"/>
      <c r="F25" s="84">
        <v>5</v>
      </c>
      <c r="G25" s="73"/>
      <c r="H25" s="121"/>
      <c r="I25" s="223"/>
      <c r="J25" s="282"/>
      <c r="K25" s="101">
        <v>5</v>
      </c>
      <c r="L25" s="281" t="s">
        <v>246</v>
      </c>
      <c r="M25" s="481">
        <v>33.308999999999997</v>
      </c>
      <c r="N25" s="115">
        <f>L18*0.09</f>
        <v>338.4</v>
      </c>
      <c r="O25" s="282"/>
      <c r="P25" s="279"/>
      <c r="Q25" s="310"/>
      <c r="R25" s="246"/>
      <c r="S25" s="238"/>
    </row>
    <row r="26" spans="1:19" s="48" customFormat="1" ht="24" x14ac:dyDescent="0.3">
      <c r="A26" s="84">
        <f t="shared" si="0"/>
        <v>6</v>
      </c>
      <c r="B26" s="483" t="s">
        <v>250</v>
      </c>
      <c r="C26" s="472">
        <v>16.748000000000001</v>
      </c>
      <c r="D26" s="115">
        <f>B18*0.05</f>
        <v>188</v>
      </c>
      <c r="E26" s="91"/>
      <c r="F26" s="84">
        <v>6</v>
      </c>
      <c r="G26" s="73"/>
      <c r="H26" s="121"/>
      <c r="I26" s="223"/>
      <c r="J26" s="282"/>
      <c r="K26" s="101">
        <v>6</v>
      </c>
      <c r="L26" s="281" t="s">
        <v>255</v>
      </c>
      <c r="M26" s="481">
        <v>33.417000000000002</v>
      </c>
      <c r="N26" s="115">
        <f>L18*0.05</f>
        <v>188</v>
      </c>
      <c r="O26" s="282"/>
      <c r="P26" s="279"/>
      <c r="Q26" s="310"/>
      <c r="R26" s="246"/>
      <c r="S26" s="238"/>
    </row>
    <row r="27" spans="1:19" s="48" customFormat="1" ht="22.5" x14ac:dyDescent="0.3">
      <c r="A27" s="84">
        <f t="shared" si="0"/>
        <v>7</v>
      </c>
      <c r="B27" s="73"/>
      <c r="C27" s="121"/>
      <c r="D27" s="115"/>
      <c r="E27" s="91"/>
      <c r="F27" s="84">
        <v>7</v>
      </c>
      <c r="G27" s="84"/>
      <c r="H27" s="122"/>
      <c r="I27" s="223"/>
      <c r="J27" s="282"/>
      <c r="K27" s="101">
        <v>7</v>
      </c>
      <c r="L27" s="281"/>
      <c r="M27" s="481"/>
      <c r="N27" s="115"/>
      <c r="O27" s="282"/>
      <c r="P27" s="279"/>
      <c r="Q27" s="310"/>
      <c r="R27" s="246"/>
      <c r="S27" s="238"/>
    </row>
    <row r="28" spans="1:19" s="48" customFormat="1" ht="22.5" x14ac:dyDescent="0.3">
      <c r="A28" s="84">
        <f t="shared" si="0"/>
        <v>8</v>
      </c>
      <c r="B28" s="73"/>
      <c r="C28" s="121"/>
      <c r="D28" s="115"/>
      <c r="E28" s="91"/>
      <c r="F28" s="84">
        <v>8</v>
      </c>
      <c r="G28" s="84"/>
      <c r="H28" s="122"/>
      <c r="I28" s="223"/>
      <c r="J28" s="282"/>
      <c r="K28" s="101">
        <v>8</v>
      </c>
      <c r="L28" s="274"/>
      <c r="M28" s="274"/>
      <c r="N28" s="115"/>
      <c r="O28" s="282"/>
      <c r="P28" s="279"/>
      <c r="Q28" s="310"/>
      <c r="R28" s="246"/>
      <c r="S28" s="238"/>
    </row>
    <row r="29" spans="1:19" s="48" customFormat="1" ht="22.5" x14ac:dyDescent="0.3">
      <c r="A29" s="84">
        <f t="shared" si="0"/>
        <v>9</v>
      </c>
      <c r="B29" s="73"/>
      <c r="C29" s="121"/>
      <c r="D29" s="115"/>
      <c r="E29" s="91"/>
      <c r="F29" s="84">
        <v>9</v>
      </c>
      <c r="G29" s="84"/>
      <c r="H29" s="122"/>
      <c r="I29" s="223"/>
      <c r="J29" s="282"/>
      <c r="K29" s="101">
        <v>9</v>
      </c>
      <c r="L29" s="274"/>
      <c r="M29" s="274"/>
      <c r="N29" s="115"/>
      <c r="O29" s="282"/>
      <c r="P29" s="279"/>
      <c r="Q29" s="310"/>
      <c r="R29" s="246"/>
      <c r="S29" s="238"/>
    </row>
    <row r="30" spans="1:19" s="48" customFormat="1" ht="22.5" x14ac:dyDescent="0.3">
      <c r="A30" s="84">
        <f t="shared" si="0"/>
        <v>10</v>
      </c>
      <c r="B30" s="73"/>
      <c r="C30" s="121"/>
      <c r="D30" s="221"/>
      <c r="E30" s="91"/>
      <c r="F30" s="84">
        <v>10</v>
      </c>
      <c r="G30" s="84"/>
      <c r="H30" s="122"/>
      <c r="I30" s="223"/>
      <c r="J30" s="282"/>
      <c r="K30" s="101">
        <v>10</v>
      </c>
      <c r="L30" s="274"/>
      <c r="M30" s="274"/>
      <c r="N30" s="115"/>
      <c r="O30" s="282"/>
      <c r="P30" s="279"/>
      <c r="Q30" s="310"/>
      <c r="R30" s="246"/>
      <c r="S30" s="238"/>
    </row>
    <row r="31" spans="1:19" s="48" customFormat="1" ht="22.5" x14ac:dyDescent="0.3">
      <c r="A31" s="84">
        <f t="shared" si="0"/>
        <v>11</v>
      </c>
      <c r="B31" s="76"/>
      <c r="C31" s="76"/>
      <c r="D31" s="77"/>
      <c r="E31" s="91"/>
      <c r="F31" s="84">
        <v>11</v>
      </c>
      <c r="G31" s="84"/>
      <c r="H31" s="84"/>
      <c r="I31" s="223"/>
      <c r="J31" s="282"/>
      <c r="K31" s="101">
        <v>11</v>
      </c>
      <c r="L31" s="274"/>
      <c r="M31" s="274"/>
      <c r="N31" s="115"/>
      <c r="O31" s="282"/>
      <c r="P31" s="279"/>
      <c r="Q31" s="310"/>
      <c r="R31" s="246"/>
      <c r="S31" s="238"/>
    </row>
    <row r="32" spans="1:19" s="48" customFormat="1" ht="22.5" x14ac:dyDescent="0.3">
      <c r="A32" s="84">
        <f t="shared" si="0"/>
        <v>12</v>
      </c>
      <c r="B32" s="76"/>
      <c r="C32" s="76"/>
      <c r="D32" s="77"/>
      <c r="E32" s="91"/>
      <c r="F32" s="84">
        <v>12</v>
      </c>
      <c r="G32" s="84"/>
      <c r="H32" s="84"/>
      <c r="I32" s="223"/>
      <c r="J32" s="282"/>
      <c r="K32" s="101">
        <v>12</v>
      </c>
      <c r="L32" s="274"/>
      <c r="M32" s="274"/>
      <c r="N32" s="115"/>
      <c r="O32" s="282"/>
      <c r="P32" s="279"/>
      <c r="Q32" s="310"/>
      <c r="R32" s="246"/>
      <c r="S32" s="238"/>
    </row>
    <row r="33" spans="1:19" ht="15.75" x14ac:dyDescent="0.25">
      <c r="D33" s="49">
        <f>SUM(D21:D32)</f>
        <v>3760</v>
      </c>
      <c r="E33" s="30">
        <f>SUM(E21:E32)</f>
        <v>0</v>
      </c>
      <c r="F33" s="31"/>
      <c r="I33" s="271">
        <f>SUM(I21:I32)</f>
        <v>1880</v>
      </c>
      <c r="J33" s="271"/>
      <c r="K33" s="271"/>
      <c r="L33" s="271"/>
      <c r="M33" s="271"/>
      <c r="N33" s="271">
        <f>SUM(N21:N32)</f>
        <v>3760</v>
      </c>
      <c r="O33" s="271"/>
      <c r="P33" s="271">
        <f>SUM(C33:N33)</f>
        <v>9400</v>
      </c>
      <c r="Q33" s="248"/>
      <c r="R33" s="244"/>
      <c r="S33" s="238"/>
    </row>
    <row r="34" spans="1:19" s="50" customFormat="1" ht="12.75" customHeight="1" x14ac:dyDescent="0.2">
      <c r="A34" s="511"/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512"/>
      <c r="M34" s="512"/>
      <c r="N34" s="512"/>
      <c r="O34" s="512"/>
      <c r="P34" s="290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90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90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90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20">
    <mergeCell ref="A39:O39"/>
    <mergeCell ref="A34:O34"/>
    <mergeCell ref="A36:O36"/>
    <mergeCell ref="A38:O38"/>
    <mergeCell ref="A35:O35"/>
    <mergeCell ref="A37:O37"/>
    <mergeCell ref="A1:B1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5:B5"/>
    <mergeCell ref="A6:B6"/>
    <mergeCell ref="E6:F6"/>
    <mergeCell ref="C1:I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1"/>
  <sheetViews>
    <sheetView view="pageBreakPreview" topLeftCell="A10" zoomScaleNormal="100" zoomScaleSheetLayoutView="100" workbookViewId="0">
      <selection sqref="A1:O32"/>
    </sheetView>
  </sheetViews>
  <sheetFormatPr defaultColWidth="9.140625" defaultRowHeight="12.75" x14ac:dyDescent="0.2"/>
  <cols>
    <col min="1" max="1" width="6" style="30" customWidth="1"/>
    <col min="2" max="2" width="23.7109375" style="30" customWidth="1"/>
    <col min="3" max="3" width="9.28515625" style="30" customWidth="1"/>
    <col min="4" max="4" width="12" style="30" bestFit="1" customWidth="1"/>
    <col min="5" max="5" width="9.5703125" style="30" customWidth="1"/>
    <col min="6" max="6" width="6" style="30" customWidth="1"/>
    <col min="7" max="7" width="23.7109375" style="30" customWidth="1"/>
    <col min="8" max="8" width="9.28515625" style="30" customWidth="1"/>
    <col min="9" max="9" width="12" style="30" bestFit="1" customWidth="1"/>
    <col min="10" max="10" width="9.5703125" style="30" customWidth="1"/>
    <col min="11" max="11" width="6" style="30" customWidth="1"/>
    <col min="12" max="12" width="23.7109375" style="30" customWidth="1"/>
    <col min="13" max="13" width="9.28515625" style="30" customWidth="1"/>
    <col min="14" max="14" width="12" style="30" bestFit="1" customWidth="1"/>
    <col min="15" max="15" width="9.5703125" style="30" customWidth="1"/>
    <col min="16" max="16" width="13.140625" style="30" bestFit="1" customWidth="1"/>
    <col min="17" max="17" width="9.140625" style="58"/>
    <col min="18" max="18" width="9.140625" style="57"/>
    <col min="19" max="16384" width="9.140625" style="30"/>
  </cols>
  <sheetData>
    <row r="1" spans="1:19" s="60" customFormat="1" ht="22.5" x14ac:dyDescent="0.3">
      <c r="A1" s="524" t="s">
        <v>43</v>
      </c>
      <c r="B1" s="524"/>
      <c r="C1" s="525" t="s">
        <v>184</v>
      </c>
      <c r="D1" s="525"/>
      <c r="E1" s="525"/>
      <c r="F1" s="525"/>
      <c r="G1" s="525"/>
      <c r="H1" s="525"/>
      <c r="I1" s="525"/>
      <c r="N1" s="80"/>
      <c r="Q1" s="308"/>
      <c r="R1" s="302"/>
    </row>
    <row r="2" spans="1:19" x14ac:dyDescent="0.2">
      <c r="K2" s="78"/>
      <c r="N2" s="81"/>
    </row>
    <row r="3" spans="1:19" ht="25.5" x14ac:dyDescent="0.35">
      <c r="A3" s="523" t="s">
        <v>0</v>
      </c>
      <c r="B3" s="513"/>
      <c r="C3" s="35" t="s">
        <v>31</v>
      </c>
      <c r="D3" s="36"/>
      <c r="E3" s="36"/>
      <c r="F3" s="36"/>
      <c r="G3" s="36"/>
      <c r="H3" s="31"/>
      <c r="I3" s="78"/>
      <c r="J3" s="78"/>
      <c r="K3" s="81"/>
      <c r="L3" s="78"/>
      <c r="M3" s="79"/>
      <c r="N3" s="81"/>
      <c r="O3" s="31"/>
    </row>
    <row r="4" spans="1:19" ht="16.5" thickBot="1" x14ac:dyDescent="0.3">
      <c r="A4" s="31"/>
      <c r="B4" s="31"/>
      <c r="C4" s="31"/>
      <c r="D4" s="31"/>
      <c r="E4" s="31"/>
      <c r="F4" s="31"/>
      <c r="G4" s="31"/>
      <c r="H4" s="31"/>
      <c r="I4" s="78"/>
      <c r="J4" s="78"/>
      <c r="K4" s="81"/>
      <c r="L4" s="78"/>
      <c r="M4" s="79"/>
      <c r="N4" s="82"/>
      <c r="O4" s="31"/>
    </row>
    <row r="5" spans="1:19" ht="16.5" thickBot="1" x14ac:dyDescent="0.3">
      <c r="A5" s="513" t="s">
        <v>1</v>
      </c>
      <c r="B5" s="514"/>
      <c r="C5" s="37">
        <v>33</v>
      </c>
      <c r="D5" s="31"/>
      <c r="E5" s="31"/>
      <c r="F5" s="31"/>
      <c r="G5" s="31"/>
      <c r="H5" s="31"/>
      <c r="I5" s="78"/>
      <c r="J5" s="78"/>
      <c r="K5" s="81"/>
      <c r="L5" s="78"/>
      <c r="M5" s="79"/>
      <c r="N5" s="82"/>
      <c r="O5" s="31"/>
    </row>
    <row r="6" spans="1:19" ht="16.5" thickBot="1" x14ac:dyDescent="0.3">
      <c r="A6" s="513" t="s">
        <v>2</v>
      </c>
      <c r="B6" s="513"/>
      <c r="C6" s="38">
        <v>100</v>
      </c>
      <c r="D6" s="32" t="s">
        <v>3</v>
      </c>
      <c r="E6" s="515">
        <f>SUM(C5*C6)</f>
        <v>3300</v>
      </c>
      <c r="F6" s="516"/>
      <c r="G6" s="31"/>
      <c r="H6" s="31"/>
      <c r="I6" s="268"/>
      <c r="J6" s="268"/>
      <c r="K6" s="269"/>
      <c r="L6" s="268"/>
      <c r="M6" s="268"/>
      <c r="N6" s="269"/>
      <c r="O6" s="270"/>
      <c r="P6" s="271"/>
      <c r="Q6" s="248"/>
      <c r="R6" s="244"/>
      <c r="S6" s="238"/>
    </row>
    <row r="7" spans="1:19" ht="16.5" thickBot="1" x14ac:dyDescent="0.3">
      <c r="A7" s="39"/>
      <c r="B7" s="39"/>
      <c r="C7" s="40"/>
      <c r="D7" s="32"/>
      <c r="E7" s="41"/>
      <c r="F7" s="42"/>
      <c r="G7" s="31"/>
      <c r="H7" s="31"/>
      <c r="I7" s="268"/>
      <c r="J7" s="268"/>
      <c r="K7" s="269"/>
      <c r="L7" s="268"/>
      <c r="M7" s="268"/>
      <c r="N7" s="269"/>
      <c r="O7" s="270"/>
      <c r="P7" s="271"/>
      <c r="Q7" s="248"/>
      <c r="R7" s="244"/>
      <c r="S7" s="238"/>
    </row>
    <row r="8" spans="1:19" ht="16.5" thickBot="1" x14ac:dyDescent="0.3">
      <c r="A8" s="513" t="s">
        <v>4</v>
      </c>
      <c r="B8" s="514"/>
      <c r="C8" s="43"/>
      <c r="D8" s="31"/>
      <c r="E8" s="519">
        <v>5000</v>
      </c>
      <c r="F8" s="516"/>
      <c r="G8" s="31"/>
      <c r="H8" s="31"/>
      <c r="I8" s="268"/>
      <c r="J8" s="268"/>
      <c r="K8" s="269"/>
      <c r="L8" s="268"/>
      <c r="M8" s="268"/>
      <c r="N8" s="269"/>
      <c r="O8" s="270"/>
      <c r="P8" s="271"/>
      <c r="Q8" s="248"/>
      <c r="R8" s="244"/>
      <c r="S8" s="238"/>
    </row>
    <row r="9" spans="1:19" ht="16.5" thickBot="1" x14ac:dyDescent="0.3">
      <c r="A9" s="39"/>
      <c r="B9" s="44"/>
      <c r="C9" s="43"/>
      <c r="D9" s="31"/>
      <c r="E9" s="42"/>
      <c r="F9" s="42"/>
      <c r="G9" s="31"/>
      <c r="H9" s="31"/>
      <c r="I9" s="268"/>
      <c r="J9" s="268"/>
      <c r="K9" s="269"/>
      <c r="L9" s="268"/>
      <c r="M9" s="268"/>
      <c r="N9" s="269"/>
      <c r="O9" s="270"/>
      <c r="P9" s="271"/>
      <c r="Q9" s="248"/>
      <c r="R9" s="244"/>
      <c r="S9" s="238"/>
    </row>
    <row r="10" spans="1:19" ht="16.5" thickBot="1" x14ac:dyDescent="0.3">
      <c r="A10" s="513" t="s">
        <v>5</v>
      </c>
      <c r="B10" s="514"/>
      <c r="C10" s="31"/>
      <c r="D10" s="31"/>
      <c r="E10" s="519">
        <f>E6+E8</f>
        <v>8300</v>
      </c>
      <c r="F10" s="516"/>
      <c r="G10" s="31"/>
      <c r="H10" s="31"/>
      <c r="I10" s="268"/>
      <c r="J10" s="268"/>
      <c r="K10" s="269"/>
      <c r="L10" s="268"/>
      <c r="M10" s="268"/>
      <c r="N10" s="269"/>
      <c r="O10" s="270"/>
      <c r="P10" s="271"/>
      <c r="Q10" s="248"/>
      <c r="R10" s="244"/>
      <c r="S10" s="238"/>
    </row>
    <row r="11" spans="1:19" ht="16.5" thickBot="1" x14ac:dyDescent="0.3">
      <c r="A11" s="39"/>
      <c r="B11" s="31"/>
      <c r="C11" s="31"/>
      <c r="D11" s="31"/>
      <c r="E11" s="31"/>
      <c r="F11" s="31"/>
      <c r="G11" s="31"/>
      <c r="H11" s="31"/>
      <c r="I11" s="268"/>
      <c r="J11" s="268"/>
      <c r="K11" s="269"/>
      <c r="L11" s="268"/>
      <c r="M11" s="268"/>
      <c r="N11" s="269"/>
      <c r="O11" s="270"/>
      <c r="P11" s="271"/>
      <c r="Q11" s="248"/>
      <c r="R11" s="244"/>
      <c r="S11" s="238"/>
    </row>
    <row r="12" spans="1:19" ht="16.5" thickBot="1" x14ac:dyDescent="0.3">
      <c r="A12" s="513" t="s">
        <v>6</v>
      </c>
      <c r="B12" s="514"/>
      <c r="C12" s="43">
        <v>0.06</v>
      </c>
      <c r="D12" s="31"/>
      <c r="E12" s="515">
        <f>E10*0.06</f>
        <v>498</v>
      </c>
      <c r="F12" s="522"/>
      <c r="G12" s="31"/>
      <c r="H12" s="31"/>
      <c r="I12" s="268"/>
      <c r="J12" s="268"/>
      <c r="K12" s="269"/>
      <c r="L12" s="268"/>
      <c r="M12" s="268"/>
      <c r="N12" s="269"/>
      <c r="O12" s="270"/>
      <c r="P12" s="271"/>
      <c r="Q12" s="248"/>
      <c r="R12" s="244"/>
      <c r="S12" s="238"/>
    </row>
    <row r="13" spans="1:19" ht="16.5" thickBot="1" x14ac:dyDescent="0.3">
      <c r="A13" s="39"/>
      <c r="B13" s="31"/>
      <c r="C13" s="31"/>
      <c r="D13" s="31"/>
      <c r="E13" s="45"/>
      <c r="F13" s="45"/>
      <c r="G13" s="31"/>
      <c r="H13" s="31"/>
      <c r="I13" s="268"/>
      <c r="J13" s="268"/>
      <c r="K13" s="269"/>
      <c r="L13" s="268"/>
      <c r="M13" s="268"/>
      <c r="N13" s="269"/>
      <c r="O13" s="270"/>
      <c r="P13" s="271"/>
      <c r="Q13" s="248"/>
      <c r="R13" s="244"/>
      <c r="S13" s="238"/>
    </row>
    <row r="14" spans="1:19" ht="16.5" thickBot="1" x14ac:dyDescent="0.3">
      <c r="A14" s="513" t="s">
        <v>7</v>
      </c>
      <c r="B14" s="514"/>
      <c r="C14" s="31"/>
      <c r="D14" s="31"/>
      <c r="E14" s="519">
        <f>E10-E12</f>
        <v>7802</v>
      </c>
      <c r="F14" s="516"/>
      <c r="G14" s="31"/>
      <c r="H14" s="31"/>
      <c r="I14" s="268"/>
      <c r="J14" s="268"/>
      <c r="K14" s="268"/>
      <c r="L14" s="268"/>
      <c r="M14" s="268"/>
      <c r="N14" s="269"/>
      <c r="O14" s="270"/>
      <c r="P14" s="271"/>
      <c r="Q14" s="248"/>
      <c r="R14" s="244"/>
      <c r="S14" s="238"/>
    </row>
    <row r="15" spans="1:19" ht="15.75" x14ac:dyDescent="0.25">
      <c r="A15" s="39"/>
      <c r="B15" s="31"/>
      <c r="C15" s="31"/>
      <c r="D15" s="31"/>
      <c r="E15" s="31"/>
      <c r="F15" s="31"/>
      <c r="G15" s="31"/>
      <c r="H15" s="31"/>
      <c r="I15" s="270"/>
      <c r="J15" s="270"/>
      <c r="K15" s="270"/>
      <c r="L15" s="270"/>
      <c r="M15" s="270"/>
      <c r="N15" s="269"/>
      <c r="O15" s="270"/>
      <c r="P15" s="271"/>
      <c r="Q15" s="248"/>
      <c r="R15" s="244"/>
      <c r="S15" s="238"/>
    </row>
    <row r="16" spans="1:19" ht="15.75" x14ac:dyDescent="0.25">
      <c r="A16" s="39"/>
      <c r="B16" s="39"/>
      <c r="C16" s="39"/>
      <c r="D16" s="39"/>
      <c r="E16" s="39"/>
      <c r="F16" s="39"/>
      <c r="G16" s="39"/>
      <c r="H16" s="39"/>
      <c r="I16" s="270"/>
      <c r="J16" s="270"/>
      <c r="K16" s="270"/>
      <c r="L16" s="270"/>
      <c r="M16" s="270"/>
      <c r="N16" s="270"/>
      <c r="O16" s="270"/>
      <c r="P16" s="271"/>
      <c r="Q16" s="248"/>
      <c r="R16" s="244"/>
      <c r="S16" s="238"/>
    </row>
    <row r="17" spans="1:19" ht="15.75" x14ac:dyDescent="0.25">
      <c r="A17" s="46" t="s">
        <v>45</v>
      </c>
      <c r="B17" s="31"/>
      <c r="C17" s="31"/>
      <c r="D17" s="31"/>
      <c r="E17" s="31"/>
      <c r="F17" s="46" t="s">
        <v>8</v>
      </c>
      <c r="G17" s="31"/>
      <c r="H17" s="31"/>
      <c r="I17" s="270"/>
      <c r="J17" s="270"/>
      <c r="K17" s="270" t="s">
        <v>9</v>
      </c>
      <c r="L17" s="270"/>
      <c r="M17" s="270"/>
      <c r="N17" s="270"/>
      <c r="O17" s="270"/>
      <c r="P17" s="271"/>
      <c r="Q17" s="248"/>
      <c r="R17" s="244"/>
      <c r="S17" s="238"/>
    </row>
    <row r="18" spans="1:19" s="47" customFormat="1" ht="18" x14ac:dyDescent="0.25">
      <c r="B18" s="47">
        <f>E14*0.4</f>
        <v>3120.8</v>
      </c>
      <c r="G18" s="47">
        <f>E14*0.2</f>
        <v>1560.4</v>
      </c>
      <c r="I18" s="255"/>
      <c r="J18" s="255"/>
      <c r="K18" s="255"/>
      <c r="L18" s="255">
        <f>E14*0.4</f>
        <v>3120.8</v>
      </c>
      <c r="M18" s="255"/>
      <c r="N18" s="255"/>
      <c r="O18" s="255"/>
      <c r="P18" s="255">
        <f>SUM(A18:M18)</f>
        <v>7802.0000000000009</v>
      </c>
      <c r="Q18" s="305"/>
      <c r="R18" s="241"/>
      <c r="S18" s="238"/>
    </row>
    <row r="19" spans="1:19" ht="15.75" x14ac:dyDescent="0.25">
      <c r="A19" s="31"/>
      <c r="B19" s="31"/>
      <c r="C19" s="31"/>
      <c r="D19" s="31"/>
      <c r="E19" s="31"/>
      <c r="F19" s="31"/>
      <c r="G19" s="31"/>
      <c r="H19" s="31"/>
      <c r="I19" s="270"/>
      <c r="J19" s="270"/>
      <c r="K19" s="270"/>
      <c r="L19" s="270"/>
      <c r="M19" s="270"/>
      <c r="N19" s="270"/>
      <c r="O19" s="270"/>
      <c r="P19" s="271"/>
      <c r="Q19" s="248"/>
      <c r="R19" s="244"/>
      <c r="S19" s="238"/>
    </row>
    <row r="20" spans="1:19" s="67" customFormat="1" ht="31.5" x14ac:dyDescent="0.25">
      <c r="A20" s="33" t="s">
        <v>10</v>
      </c>
      <c r="B20" s="33" t="s">
        <v>11</v>
      </c>
      <c r="C20" s="33" t="s">
        <v>12</v>
      </c>
      <c r="D20" s="34" t="s">
        <v>13</v>
      </c>
      <c r="E20" s="33" t="s">
        <v>14</v>
      </c>
      <c r="F20" s="33" t="s">
        <v>10</v>
      </c>
      <c r="G20" s="33" t="s">
        <v>11</v>
      </c>
      <c r="H20" s="33" t="s">
        <v>12</v>
      </c>
      <c r="I20" s="273" t="s">
        <v>13</v>
      </c>
      <c r="J20" s="274" t="s">
        <v>14</v>
      </c>
      <c r="K20" s="274" t="s">
        <v>10</v>
      </c>
      <c r="L20" s="274" t="s">
        <v>11</v>
      </c>
      <c r="M20" s="274" t="s">
        <v>12</v>
      </c>
      <c r="N20" s="273" t="s">
        <v>13</v>
      </c>
      <c r="O20" s="274" t="s">
        <v>14</v>
      </c>
      <c r="P20" s="275"/>
      <c r="Q20" s="309"/>
      <c r="R20" s="245"/>
      <c r="S20" s="238"/>
    </row>
    <row r="21" spans="1:19" s="48" customFormat="1" ht="22.5" x14ac:dyDescent="0.3">
      <c r="A21" s="93">
        <v>1</v>
      </c>
      <c r="B21" s="483" t="s">
        <v>218</v>
      </c>
      <c r="C21" s="472">
        <v>10.02</v>
      </c>
      <c r="D21" s="220">
        <f>B18*0.29</f>
        <v>905.03200000000004</v>
      </c>
      <c r="E21" s="97"/>
      <c r="F21" s="93">
        <v>1</v>
      </c>
      <c r="G21" s="71" t="s">
        <v>219</v>
      </c>
      <c r="H21" s="92">
        <v>9.44</v>
      </c>
      <c r="I21" s="220">
        <f>G18*0.4</f>
        <v>624.16000000000008</v>
      </c>
      <c r="J21" s="278"/>
      <c r="K21" s="312">
        <v>1</v>
      </c>
      <c r="L21" s="277" t="s">
        <v>198</v>
      </c>
      <c r="M21" s="473">
        <v>21.240000000000002</v>
      </c>
      <c r="N21" s="220">
        <f>L18*0.29</f>
        <v>905.03200000000004</v>
      </c>
      <c r="O21" s="278"/>
      <c r="P21" s="279"/>
      <c r="Q21" s="310"/>
      <c r="R21" s="246"/>
      <c r="S21" s="238"/>
    </row>
    <row r="22" spans="1:19" s="48" customFormat="1" ht="22.5" x14ac:dyDescent="0.3">
      <c r="A22" s="84">
        <v>2</v>
      </c>
      <c r="B22" s="483" t="s">
        <v>198</v>
      </c>
      <c r="C22" s="472">
        <v>10.58</v>
      </c>
      <c r="D22" s="115">
        <f>B18*0.24</f>
        <v>748.99199999999996</v>
      </c>
      <c r="E22" s="100"/>
      <c r="F22" s="84">
        <v>2</v>
      </c>
      <c r="G22" s="73" t="s">
        <v>220</v>
      </c>
      <c r="H22" s="75">
        <v>9.75</v>
      </c>
      <c r="I22" s="115">
        <f>G18*0.3</f>
        <v>468.12</v>
      </c>
      <c r="J22" s="282"/>
      <c r="K22" s="101">
        <v>2</v>
      </c>
      <c r="L22" s="281" t="s">
        <v>219</v>
      </c>
      <c r="M22" s="474">
        <v>21.57</v>
      </c>
      <c r="N22" s="115">
        <f>L18*0.24</f>
        <v>748.99199999999996</v>
      </c>
      <c r="O22" s="282"/>
      <c r="P22" s="279"/>
      <c r="Q22" s="310"/>
      <c r="R22" s="246"/>
      <c r="S22" s="238"/>
    </row>
    <row r="23" spans="1:19" s="48" customFormat="1" ht="31.5" x14ac:dyDescent="0.3">
      <c r="A23" s="84">
        <v>3</v>
      </c>
      <c r="B23" s="483" t="s">
        <v>219</v>
      </c>
      <c r="C23" s="472">
        <v>12.13</v>
      </c>
      <c r="D23" s="115">
        <f>B18*0.19</f>
        <v>592.952</v>
      </c>
      <c r="E23" s="100"/>
      <c r="F23" s="84">
        <v>3</v>
      </c>
      <c r="G23" s="73" t="s">
        <v>222</v>
      </c>
      <c r="H23" s="75">
        <v>10.28</v>
      </c>
      <c r="I23" s="115">
        <f>G18*0.2</f>
        <v>312.08000000000004</v>
      </c>
      <c r="J23" s="282"/>
      <c r="K23" s="101">
        <v>3</v>
      </c>
      <c r="L23" s="287" t="s">
        <v>220</v>
      </c>
      <c r="M23" s="474">
        <v>21.95</v>
      </c>
      <c r="N23" s="115">
        <f>L18*0.19</f>
        <v>592.952</v>
      </c>
      <c r="O23" s="282"/>
      <c r="P23" s="279"/>
      <c r="Q23" s="310"/>
      <c r="R23" s="246"/>
      <c r="S23" s="238"/>
    </row>
    <row r="24" spans="1:19" s="48" customFormat="1" ht="22.5" x14ac:dyDescent="0.3">
      <c r="A24" s="84">
        <v>4</v>
      </c>
      <c r="B24" s="483" t="s">
        <v>220</v>
      </c>
      <c r="C24" s="472">
        <v>12.2</v>
      </c>
      <c r="D24" s="115">
        <f>B18*0.14</f>
        <v>436.91200000000009</v>
      </c>
      <c r="E24" s="100"/>
      <c r="F24" s="84">
        <v>4</v>
      </c>
      <c r="G24" s="73" t="s">
        <v>198</v>
      </c>
      <c r="H24" s="75">
        <v>10.66</v>
      </c>
      <c r="I24" s="115">
        <f>G18*0.1</f>
        <v>156.04000000000002</v>
      </c>
      <c r="J24" s="282"/>
      <c r="K24" s="101">
        <v>4</v>
      </c>
      <c r="L24" s="281" t="s">
        <v>221</v>
      </c>
      <c r="M24" s="474">
        <v>24.17</v>
      </c>
      <c r="N24" s="115">
        <f>L18*0.14</f>
        <v>436.91200000000009</v>
      </c>
      <c r="O24" s="282"/>
      <c r="P24" s="279"/>
      <c r="Q24" s="310"/>
      <c r="R24" s="246"/>
      <c r="S24" s="238"/>
    </row>
    <row r="25" spans="1:19" s="48" customFormat="1" ht="24" x14ac:dyDescent="0.3">
      <c r="A25" s="84">
        <v>5</v>
      </c>
      <c r="B25" s="483" t="s">
        <v>221</v>
      </c>
      <c r="C25" s="472">
        <v>13.43</v>
      </c>
      <c r="D25" s="115">
        <f>B18*0.09</f>
        <v>280.87200000000001</v>
      </c>
      <c r="E25" s="100"/>
      <c r="F25" s="84">
        <v>5</v>
      </c>
      <c r="G25" s="73" t="s">
        <v>221</v>
      </c>
      <c r="H25" s="75">
        <v>10.74</v>
      </c>
      <c r="I25" s="223"/>
      <c r="J25" s="282"/>
      <c r="K25" s="101">
        <v>5</v>
      </c>
      <c r="L25" s="281" t="s">
        <v>222</v>
      </c>
      <c r="M25" s="474">
        <v>25.84</v>
      </c>
      <c r="N25" s="115">
        <f>L18*0.09</f>
        <v>280.87200000000001</v>
      </c>
      <c r="O25" s="282"/>
      <c r="P25" s="279"/>
      <c r="Q25" s="310"/>
      <c r="R25" s="246"/>
      <c r="S25" s="238"/>
    </row>
    <row r="26" spans="1:19" s="48" customFormat="1" ht="22.5" x14ac:dyDescent="0.3">
      <c r="A26" s="84">
        <v>6</v>
      </c>
      <c r="B26" s="483" t="s">
        <v>222</v>
      </c>
      <c r="C26" s="472">
        <v>15.56</v>
      </c>
      <c r="D26" s="115">
        <f>B18*0.05</f>
        <v>156.04000000000002</v>
      </c>
      <c r="E26" s="100"/>
      <c r="F26" s="84">
        <v>6</v>
      </c>
      <c r="G26" s="73" t="s">
        <v>235</v>
      </c>
      <c r="H26" s="75">
        <v>11.07</v>
      </c>
      <c r="I26" s="223"/>
      <c r="J26" s="282"/>
      <c r="K26" s="101">
        <v>6</v>
      </c>
      <c r="L26" s="281" t="s">
        <v>235</v>
      </c>
      <c r="M26" s="474">
        <v>27.48</v>
      </c>
      <c r="N26" s="115">
        <f>L18*0.05</f>
        <v>156.04000000000002</v>
      </c>
      <c r="O26" s="282"/>
      <c r="P26" s="279"/>
      <c r="Q26" s="310"/>
      <c r="R26" s="246"/>
      <c r="S26" s="238"/>
    </row>
    <row r="27" spans="1:19" s="48" customFormat="1" ht="22.5" x14ac:dyDescent="0.3">
      <c r="A27" s="84">
        <v>7</v>
      </c>
      <c r="B27" s="73"/>
      <c r="C27" s="75"/>
      <c r="D27" s="115"/>
      <c r="E27" s="100"/>
      <c r="F27" s="84">
        <v>7</v>
      </c>
      <c r="G27" s="84"/>
      <c r="H27" s="84"/>
      <c r="I27" s="223"/>
      <c r="J27" s="282"/>
      <c r="K27" s="101">
        <v>7</v>
      </c>
      <c r="L27" s="281"/>
      <c r="M27" s="281"/>
      <c r="N27" s="223"/>
      <c r="O27" s="282"/>
      <c r="P27" s="279"/>
      <c r="Q27" s="310"/>
      <c r="R27" s="246"/>
      <c r="S27" s="238"/>
    </row>
    <row r="28" spans="1:19" s="48" customFormat="1" ht="22.5" x14ac:dyDescent="0.3">
      <c r="A28" s="84">
        <v>8</v>
      </c>
      <c r="B28" s="73"/>
      <c r="C28" s="75"/>
      <c r="D28" s="115"/>
      <c r="E28" s="100"/>
      <c r="F28" s="84">
        <v>8</v>
      </c>
      <c r="G28" s="84"/>
      <c r="H28" s="84"/>
      <c r="I28" s="223"/>
      <c r="J28" s="282"/>
      <c r="K28" s="101">
        <v>8</v>
      </c>
      <c r="L28" s="274"/>
      <c r="M28" s="274"/>
      <c r="N28" s="223"/>
      <c r="O28" s="282"/>
      <c r="P28" s="279"/>
      <c r="Q28" s="310"/>
      <c r="R28" s="246"/>
      <c r="S28" s="238"/>
    </row>
    <row r="29" spans="1:19" s="48" customFormat="1" ht="22.5" x14ac:dyDescent="0.3">
      <c r="A29" s="84">
        <v>9</v>
      </c>
      <c r="B29" s="73"/>
      <c r="C29" s="75"/>
      <c r="D29" s="115"/>
      <c r="E29" s="100"/>
      <c r="F29" s="84">
        <v>9</v>
      </c>
      <c r="G29" s="118"/>
      <c r="H29" s="118"/>
      <c r="I29" s="288"/>
      <c r="J29" s="280"/>
      <c r="K29" s="101">
        <v>9</v>
      </c>
      <c r="L29" s="274"/>
      <c r="M29" s="274"/>
      <c r="N29" s="223"/>
      <c r="O29" s="282"/>
      <c r="P29" s="279"/>
      <c r="Q29" s="310"/>
      <c r="R29" s="246"/>
      <c r="S29" s="238"/>
    </row>
    <row r="30" spans="1:19" s="48" customFormat="1" ht="22.5" x14ac:dyDescent="0.3">
      <c r="A30" s="84">
        <v>10</v>
      </c>
      <c r="B30" s="73"/>
      <c r="C30" s="75"/>
      <c r="D30" s="221"/>
      <c r="E30" s="100"/>
      <c r="F30" s="84">
        <v>10</v>
      </c>
      <c r="G30" s="118"/>
      <c r="H30" s="118"/>
      <c r="I30" s="288"/>
      <c r="J30" s="280"/>
      <c r="K30" s="101">
        <v>10</v>
      </c>
      <c r="L30" s="289"/>
      <c r="M30" s="289"/>
      <c r="N30" s="288"/>
      <c r="O30" s="280"/>
      <c r="P30" s="279"/>
      <c r="Q30" s="310"/>
      <c r="R30" s="246"/>
      <c r="S30" s="238"/>
    </row>
    <row r="31" spans="1:19" s="48" customFormat="1" ht="22.5" x14ac:dyDescent="0.3">
      <c r="A31" s="84">
        <v>11</v>
      </c>
      <c r="B31" s="76"/>
      <c r="C31" s="76"/>
      <c r="D31" s="77"/>
      <c r="E31" s="100"/>
      <c r="F31" s="84">
        <v>11</v>
      </c>
      <c r="G31" s="117"/>
      <c r="H31" s="117"/>
      <c r="I31" s="224"/>
      <c r="J31" s="280"/>
      <c r="K31" s="101">
        <v>11</v>
      </c>
      <c r="L31" s="283"/>
      <c r="M31" s="283"/>
      <c r="N31" s="224"/>
      <c r="O31" s="280"/>
      <c r="P31" s="279"/>
      <c r="Q31" s="310"/>
      <c r="R31" s="246"/>
      <c r="S31" s="238"/>
    </row>
    <row r="32" spans="1:19" s="48" customFormat="1" ht="22.5" x14ac:dyDescent="0.3">
      <c r="A32" s="84">
        <v>12</v>
      </c>
      <c r="B32" s="76"/>
      <c r="C32" s="76"/>
      <c r="D32" s="77"/>
      <c r="E32" s="100"/>
      <c r="F32" s="84">
        <v>12</v>
      </c>
      <c r="G32" s="117"/>
      <c r="H32" s="117"/>
      <c r="I32" s="224"/>
      <c r="J32" s="280"/>
      <c r="K32" s="101">
        <v>12</v>
      </c>
      <c r="L32" s="283"/>
      <c r="M32" s="283"/>
      <c r="N32" s="224"/>
      <c r="O32" s="280"/>
      <c r="P32" s="279"/>
      <c r="Q32" s="310"/>
      <c r="R32" s="246"/>
      <c r="S32" s="238"/>
    </row>
    <row r="33" spans="1:19" ht="15.75" x14ac:dyDescent="0.25">
      <c r="D33" s="49">
        <f>SUM(D21:D32)</f>
        <v>3120.7999999999997</v>
      </c>
      <c r="F33" s="31"/>
      <c r="I33" s="271">
        <f>SUM(I21:I32)</f>
        <v>1560.4</v>
      </c>
      <c r="J33" s="271"/>
      <c r="K33" s="271"/>
      <c r="L33" s="271"/>
      <c r="M33" s="271"/>
      <c r="N33" s="271">
        <f>SUM(N21:N32)</f>
        <v>3120.7999999999997</v>
      </c>
      <c r="O33" s="271"/>
      <c r="P33" s="271">
        <f>SUM(D33:N33)</f>
        <v>7802</v>
      </c>
      <c r="Q33" s="248"/>
      <c r="R33" s="244"/>
      <c r="S33" s="238"/>
    </row>
    <row r="34" spans="1:19" s="50" customFormat="1" ht="12.75" customHeight="1" x14ac:dyDescent="0.2">
      <c r="I34" s="271"/>
      <c r="J34" s="271"/>
      <c r="K34" s="271"/>
      <c r="L34" s="271"/>
      <c r="M34" s="271"/>
      <c r="N34" s="271"/>
      <c r="O34" s="271"/>
      <c r="P34" s="271"/>
      <c r="Q34" s="54"/>
      <c r="R34" s="247"/>
      <c r="S34" s="238"/>
    </row>
    <row r="35" spans="1:19" s="50" customFormat="1" ht="12.75" customHeight="1" x14ac:dyDescent="0.2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71"/>
      <c r="Q35" s="54"/>
      <c r="R35" s="247"/>
      <c r="S35" s="238"/>
    </row>
    <row r="36" spans="1:19" s="50" customFormat="1" ht="12.75" customHeight="1" x14ac:dyDescent="0.2">
      <c r="A36" s="520" t="s">
        <v>105</v>
      </c>
      <c r="B36" s="520"/>
      <c r="C36" s="520"/>
      <c r="D36" s="520"/>
      <c r="E36" s="520"/>
      <c r="F36" s="520"/>
      <c r="G36" s="520"/>
      <c r="H36" s="520"/>
      <c r="I36" s="521"/>
      <c r="J36" s="521"/>
      <c r="K36" s="521"/>
      <c r="L36" s="521"/>
      <c r="M36" s="521"/>
      <c r="N36" s="521"/>
      <c r="O36" s="521"/>
      <c r="P36" s="271"/>
      <c r="Q36" s="54"/>
      <c r="R36" s="247"/>
      <c r="S36" s="238"/>
    </row>
    <row r="37" spans="1:19" s="50" customFormat="1" ht="12.75" customHeight="1" x14ac:dyDescent="0.2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71"/>
      <c r="Q37" s="54"/>
      <c r="R37" s="247"/>
      <c r="S37" s="238"/>
    </row>
    <row r="38" spans="1:19" s="50" customFormat="1" ht="12.75" customHeight="1" x14ac:dyDescent="0.2">
      <c r="A38" s="517" t="s">
        <v>106</v>
      </c>
      <c r="B38" s="517"/>
      <c r="C38" s="517"/>
      <c r="D38" s="517"/>
      <c r="E38" s="517"/>
      <c r="F38" s="517"/>
      <c r="G38" s="517"/>
      <c r="H38" s="517"/>
      <c r="I38" s="518"/>
      <c r="J38" s="518"/>
      <c r="K38" s="518"/>
      <c r="L38" s="518"/>
      <c r="M38" s="518"/>
      <c r="N38" s="518"/>
      <c r="O38" s="518"/>
      <c r="P38" s="271"/>
      <c r="Q38" s="54"/>
      <c r="R38" s="247"/>
      <c r="S38" s="238"/>
    </row>
    <row r="39" spans="1:19" s="50" customFormat="1" ht="12.75" customHeight="1" x14ac:dyDescent="0.2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71"/>
      <c r="Q39" s="54"/>
      <c r="R39" s="247"/>
      <c r="S39" s="238"/>
    </row>
    <row r="40" spans="1:19" x14ac:dyDescent="0.2">
      <c r="I40" s="271"/>
      <c r="J40" s="271"/>
      <c r="K40" s="271"/>
      <c r="L40" s="271"/>
      <c r="M40" s="271"/>
      <c r="N40" s="271"/>
      <c r="O40" s="271"/>
      <c r="P40" s="271"/>
      <c r="Q40" s="248"/>
      <c r="R40" s="244"/>
      <c r="S40" s="238"/>
    </row>
    <row r="41" spans="1:19" x14ac:dyDescent="0.2">
      <c r="I41" s="271"/>
      <c r="J41" s="271"/>
      <c r="K41" s="271"/>
      <c r="L41" s="271"/>
      <c r="M41" s="271"/>
      <c r="N41" s="271"/>
      <c r="O41" s="271"/>
      <c r="P41" s="271"/>
      <c r="Q41" s="248"/>
      <c r="R41" s="244"/>
      <c r="S41" s="238"/>
    </row>
    <row r="42" spans="1:19" x14ac:dyDescent="0.2">
      <c r="I42" s="271"/>
      <c r="J42" s="271"/>
      <c r="K42" s="271"/>
      <c r="L42" s="271"/>
      <c r="M42" s="271"/>
      <c r="N42" s="271"/>
      <c r="O42" s="271"/>
      <c r="P42" s="271"/>
      <c r="Q42" s="248"/>
      <c r="R42" s="244"/>
      <c r="S42" s="238"/>
    </row>
    <row r="43" spans="1:19" x14ac:dyDescent="0.2">
      <c r="I43" s="271"/>
      <c r="J43" s="271"/>
      <c r="K43" s="271"/>
      <c r="L43" s="271"/>
      <c r="M43" s="271"/>
      <c r="N43" s="271"/>
      <c r="O43" s="271"/>
      <c r="P43" s="271"/>
      <c r="Q43" s="248"/>
      <c r="R43" s="244"/>
      <c r="S43" s="238"/>
    </row>
    <row r="44" spans="1:19" x14ac:dyDescent="0.2">
      <c r="I44" s="271"/>
      <c r="J44" s="271"/>
      <c r="K44" s="271"/>
      <c r="L44" s="271"/>
      <c r="M44" s="271"/>
      <c r="N44" s="271"/>
      <c r="O44" s="271"/>
      <c r="P44" s="271"/>
      <c r="Q44" s="248"/>
      <c r="R44" s="244"/>
      <c r="S44" s="238"/>
    </row>
    <row r="45" spans="1:19" x14ac:dyDescent="0.2">
      <c r="I45" s="271"/>
      <c r="J45" s="271"/>
      <c r="K45" s="271"/>
      <c r="L45" s="271"/>
      <c r="M45" s="271"/>
      <c r="N45" s="271"/>
      <c r="O45" s="271"/>
      <c r="P45" s="271"/>
      <c r="Q45" s="248"/>
      <c r="R45" s="244"/>
      <c r="S45" s="238"/>
    </row>
    <row r="46" spans="1:19" x14ac:dyDescent="0.2">
      <c r="I46" s="271"/>
      <c r="J46" s="271"/>
      <c r="K46" s="271"/>
      <c r="L46" s="271"/>
      <c r="M46" s="271"/>
      <c r="N46" s="271"/>
      <c r="O46" s="271"/>
      <c r="P46" s="271"/>
      <c r="Q46" s="248"/>
      <c r="R46" s="244"/>
      <c r="S46" s="238"/>
    </row>
    <row r="47" spans="1:19" x14ac:dyDescent="0.2">
      <c r="I47" s="271"/>
      <c r="J47" s="271"/>
      <c r="K47" s="271"/>
      <c r="L47" s="271"/>
      <c r="M47" s="271"/>
      <c r="N47" s="271"/>
      <c r="O47" s="271"/>
      <c r="P47" s="271"/>
      <c r="Q47" s="248"/>
      <c r="R47" s="244"/>
      <c r="S47" s="238"/>
    </row>
    <row r="48" spans="1:19" x14ac:dyDescent="0.2">
      <c r="I48" s="271"/>
      <c r="J48" s="271"/>
      <c r="K48" s="271"/>
      <c r="L48" s="271"/>
      <c r="M48" s="271"/>
      <c r="N48" s="271"/>
      <c r="O48" s="271"/>
      <c r="P48" s="271"/>
      <c r="Q48" s="248"/>
      <c r="R48" s="244"/>
      <c r="S48" s="238"/>
    </row>
    <row r="49" spans="9:19" x14ac:dyDescent="0.2">
      <c r="I49" s="271"/>
      <c r="J49" s="271"/>
      <c r="K49" s="271"/>
      <c r="L49" s="271"/>
      <c r="M49" s="271"/>
      <c r="N49" s="271"/>
      <c r="O49" s="271"/>
      <c r="P49" s="271"/>
      <c r="Q49" s="248"/>
      <c r="R49" s="244"/>
      <c r="S49" s="238"/>
    </row>
    <row r="50" spans="9:19" x14ac:dyDescent="0.2">
      <c r="I50" s="271"/>
      <c r="J50" s="271"/>
      <c r="K50" s="271"/>
      <c r="L50" s="271"/>
      <c r="M50" s="271"/>
      <c r="N50" s="271"/>
      <c r="O50" s="271"/>
      <c r="P50" s="271"/>
      <c r="Q50" s="248"/>
      <c r="R50" s="244"/>
      <c r="S50" s="238"/>
    </row>
    <row r="51" spans="9:19" x14ac:dyDescent="0.2">
      <c r="I51" s="272"/>
      <c r="J51" s="272"/>
      <c r="K51" s="272"/>
      <c r="L51" s="272"/>
      <c r="M51" s="272"/>
      <c r="N51" s="272"/>
      <c r="O51" s="272"/>
      <c r="P51" s="272"/>
      <c r="Q51" s="248"/>
    </row>
  </sheetData>
  <mergeCells count="19">
    <mergeCell ref="A3:B3"/>
    <mergeCell ref="A1:B1"/>
    <mergeCell ref="C1:I1"/>
    <mergeCell ref="A38:O38"/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21</vt:i4>
      </vt:variant>
    </vt:vector>
  </HeadingPairs>
  <TitlesOfParts>
    <vt:vector size="40" baseType="lpstr">
      <vt:lpstr>All Indian Rodeo</vt:lpstr>
      <vt:lpstr>Bareback</vt:lpstr>
      <vt:lpstr>Steer Wrestling</vt:lpstr>
      <vt:lpstr>Saddle Bronc</vt:lpstr>
      <vt:lpstr>TR Header</vt:lpstr>
      <vt:lpstr>TR Heeler</vt:lpstr>
      <vt:lpstr>Bull Riding</vt:lpstr>
      <vt:lpstr>Barrel Racing</vt:lpstr>
      <vt:lpstr>Tie Down Roping</vt:lpstr>
      <vt:lpstr>Breakaway</vt:lpstr>
      <vt:lpstr>Sr. Breakaway</vt:lpstr>
      <vt:lpstr>Sr. TR Header</vt:lpstr>
      <vt:lpstr>Sr. TR Heeler</vt:lpstr>
      <vt:lpstr>Jr. Barrel Racing</vt:lpstr>
      <vt:lpstr>Jr. Breakaway</vt:lpstr>
      <vt:lpstr>Jr. Bull Riding</vt:lpstr>
      <vt:lpstr>RESULTS</vt:lpstr>
      <vt:lpstr>SANCTION FEE</vt:lpstr>
      <vt:lpstr>STOCK FEES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'Jr. Barrel Racing'!Print_Area</vt:lpstr>
      <vt:lpstr>'Jr. Breakaway'!Print_Area</vt:lpstr>
      <vt:lpstr>'Jr. Bull Riding'!Print_Area</vt:lpstr>
      <vt:lpstr>RESULTS!Print_Area</vt:lpstr>
      <vt:lpstr>'Saddle Bronc'!Print_Area</vt:lpstr>
      <vt:lpstr>'SANCTION FEE'!Print_Area</vt:lpstr>
      <vt:lpstr>'Sr. Breakaway'!Print_Area</vt:lpstr>
      <vt:lpstr>'Sr. TR Header'!Print_Area</vt:lpstr>
      <vt:lpstr>'Sr. TR Heeler'!Print_Area</vt:lpstr>
      <vt:lpstr>'Steer Wrestling'!Print_Area</vt:lpstr>
      <vt:lpstr>'STOCK FEES'!Print_Area</vt:lpstr>
      <vt:lpstr>'Tie Down Roping'!Print_Area</vt:lpstr>
      <vt:lpstr>'TR Header'!Print_Area</vt:lpstr>
      <vt:lpstr>'TR Heeler'!Print_Area</vt:lpstr>
      <vt:lpstr>'All Indian Rodeo'!Print_Titles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Donna</cp:lastModifiedBy>
  <cp:lastPrinted>2022-07-25T18:53:05Z</cp:lastPrinted>
  <dcterms:created xsi:type="dcterms:W3CDTF">2014-03-21T02:23:38Z</dcterms:created>
  <dcterms:modified xsi:type="dcterms:W3CDTF">2022-07-25T19:43:23Z</dcterms:modified>
</cp:coreProperties>
</file>